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40" windowHeight="8580" tabRatio="973" activeTab="3"/>
  </bookViews>
  <sheets>
    <sheet name="Total" sheetId="1" r:id="rId1"/>
    <sheet name="Økonomi-drift" sheetId="2" r:id="rId2"/>
    <sheet name="Plan og Teknik-drift" sheetId="28" r:id="rId3"/>
    <sheet name="Børn og Læring-drift" sheetId="29" r:id="rId4"/>
    <sheet name="Kultur og Fritid-drift" sheetId="30" r:id="rId5"/>
    <sheet name="Social og Sundhed-drift" sheetId="31" r:id="rId6"/>
    <sheet name="Arbejdsmarked og Integra.-drift" sheetId="32" r:id="rId7"/>
    <sheet name="Økonomi-anlæg" sheetId="33" r:id="rId8"/>
    <sheet name="Plan og Teknik-anlæg" sheetId="34" r:id="rId9"/>
    <sheet name="Børn og Læring-anlæg" sheetId="35" r:id="rId10"/>
    <sheet name="Kultur og Fritid-anlæg" sheetId="36" r:id="rId11"/>
    <sheet name="Social og Sundhed-anlæg" sheetId="37" r:id="rId12"/>
    <sheet name="Arbejdsmarked og Integra.-anlæg" sheetId="38" r:id="rId13"/>
    <sheet name="Byggemodning mv." sheetId="39" r:id="rId14"/>
    <sheet name="Salg af grunde" sheetId="40" r:id="rId15"/>
  </sheets>
  <definedNames>
    <definedName name="_xlnm.Print_Area" localSheetId="11">'Social og Sundhed-anlæg'!$A$1:$H$18</definedName>
    <definedName name="_xlnm.Print_Area" localSheetId="1">'Økonomi-drift'!$A$1:$I$119</definedName>
    <definedName name="_xlnm.Print_Titles" localSheetId="1">'Økonomi-drift'!$6:$7</definedName>
    <definedName name="_xlnm.Print_Titles" localSheetId="2">'Plan og Teknik-drift'!$6:$7</definedName>
    <definedName name="_xlnm.Print_Titles" localSheetId="3">'Børn og Læring-drift'!$6:$7</definedName>
    <definedName name="_xlnm.Print_Titles" localSheetId="4">'Kultur og Fritid-drift'!$6:$7</definedName>
    <definedName name="_xlnm.Print_Titles" localSheetId="5">'Social og Sundhed-drift'!$5:$6</definedName>
    <definedName name="_xlnm.Print_Titles" localSheetId="7">'Økonomi-anlæg'!$6:$7</definedName>
    <definedName name="_xlnm.Print_Titles" localSheetId="8">'Plan og Teknik-anlæg'!$6:$7</definedName>
    <definedName name="_xlnm.Print_Titles" localSheetId="11">'Social og Sundhed-anlæg'!$6:$6</definedName>
  </definedNames>
  <calcPr calcId="152511"/>
</workbook>
</file>

<file path=xl/sharedStrings.xml><?xml version="1.0" encoding="utf-8"?>
<sst xmlns="http://schemas.openxmlformats.org/spreadsheetml/2006/main" count="1346" uniqueCount="741">
  <si>
    <t>Kultur og Fritid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</si>
  <si>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</si>
  <si>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</si>
  <si>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</si>
  <si>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</si>
  <si>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</si>
  <si>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</si>
  <si>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</si>
  <si>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</si>
  <si>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Udvalg: Kultur og Fritid</t>
  </si>
  <si>
    <t>Udvalg: Arbejdsmarked og Integration</t>
  </si>
  <si>
    <t>Total</t>
  </si>
  <si>
    <t>Drift</t>
  </si>
  <si>
    <t>Anlæg</t>
  </si>
  <si>
    <t>Dok.nr.</t>
  </si>
  <si>
    <t>I alt øvrige</t>
  </si>
  <si>
    <t>Social og Sundhed</t>
  </si>
  <si>
    <t>+ = overskud,     - =  underskud</t>
  </si>
  <si>
    <t>Indenfor rammen: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</si>
  <si>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</si>
  <si>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</si>
  <si>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</si>
  <si>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</si>
  <si>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</si>
  <si>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</si>
  <si>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</si>
  <si>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Oksbøl Børnehave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</si>
  <si>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</si>
  <si>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</si>
  <si>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</si>
  <si>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</si>
  <si>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</si>
  <si>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</si>
  <si>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</si>
  <si>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</si>
  <si>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</si>
  <si>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</si>
  <si>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</si>
  <si>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</si>
  <si>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</si>
  <si>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</si>
  <si>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Lykkesgårdskolen</t>
  </si>
  <si>
    <t>Specialklasserk., Lykkesgårdsk.</t>
  </si>
  <si>
    <t>Lykkesgårdskolen SFO</t>
  </si>
  <si>
    <t>Nordenskov Skole</t>
  </si>
  <si>
    <t>Nordenskov SFO</t>
  </si>
  <si>
    <t>Næsbjerg Skole</t>
  </si>
  <si>
    <t>Næsbjerg SFO</t>
  </si>
  <si>
    <t>Næsbjerg Skole taleklassen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</si>
  <si>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</si>
  <si>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</si>
  <si>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</si>
  <si>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</si>
  <si>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</si>
  <si>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</si>
  <si>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</si>
  <si>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</si>
  <si>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</si>
  <si>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</si>
  <si>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</si>
  <si>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</si>
  <si>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</si>
  <si>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Bibliotek</t>
  </si>
  <si>
    <t>Socialpsykiatrien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</si>
  <si>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</si>
  <si>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</si>
  <si>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</si>
  <si>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</si>
  <si>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</si>
  <si>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</si>
  <si>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</si>
  <si>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</si>
  <si>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</si>
  <si>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</si>
  <si>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00.28.20</t>
  </si>
  <si>
    <t>Vedligeholdelse af vandløb</t>
  </si>
  <si>
    <t>00.48.71</t>
  </si>
  <si>
    <t>Miljøbesk.-Fælles formål</t>
  </si>
  <si>
    <t>02.22.01</t>
  </si>
  <si>
    <t>02.22.03</t>
  </si>
  <si>
    <t>02.22.05</t>
  </si>
  <si>
    <t>Vejvedligeholdelse m.v.</t>
  </si>
  <si>
    <t>02.28.11</t>
  </si>
  <si>
    <t>Belægninger</t>
  </si>
  <si>
    <t>02.28.12</t>
  </si>
  <si>
    <t>02.32.31</t>
  </si>
  <si>
    <t>02.35.41</t>
  </si>
  <si>
    <t>Naturforvaltningsprojekt</t>
  </si>
  <si>
    <t>Skove</t>
  </si>
  <si>
    <t>00.38.53</t>
  </si>
  <si>
    <t>Faste ejend.- Beboelse</t>
  </si>
  <si>
    <t>00.25.11</t>
  </si>
  <si>
    <t>Faste ejend.- Andre faste ejd.</t>
  </si>
  <si>
    <t>00.25.13</t>
  </si>
  <si>
    <t>Jordforurening</t>
  </si>
  <si>
    <t>Øvr. planl., unders.,tilsyn mv.</t>
  </si>
  <si>
    <t>Grønne omr. og naturpladser</t>
  </si>
  <si>
    <t>Direktionen</t>
  </si>
  <si>
    <t>Staben Økonomi</t>
  </si>
  <si>
    <t>Dagtilbud</t>
  </si>
  <si>
    <t>Skoler</t>
  </si>
  <si>
    <t>Borgerservice</t>
  </si>
  <si>
    <t>Jobcenter</t>
  </si>
  <si>
    <t>06.45.51</t>
  </si>
  <si>
    <t>Udenfor rammen - 100% overførsel: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</si>
  <si>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</si>
  <si>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</si>
  <si>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</si>
  <si>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</si>
  <si>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</si>
  <si>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</si>
  <si>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</si>
  <si>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06.45.53</t>
  </si>
  <si>
    <t>Sandflugt</t>
  </si>
  <si>
    <t>00.38.54</t>
  </si>
  <si>
    <t>Byggemodning, Boligformål</t>
  </si>
  <si>
    <t>Byggemodning, Erhvervsformål</t>
  </si>
  <si>
    <t>Anlæg - Byggemodning</t>
  </si>
  <si>
    <t>Byggemodning</t>
  </si>
  <si>
    <t>Anlæg - Salg af grunde</t>
  </si>
  <si>
    <t>Lunden</t>
  </si>
  <si>
    <t>Hjemmesygeplejen</t>
  </si>
  <si>
    <t>Hjælpemiddeldepot</t>
  </si>
  <si>
    <t>Bærbare batterier</t>
  </si>
  <si>
    <t>00.52.85</t>
  </si>
  <si>
    <t>Lederløn - indenfor direktionens ramme:</t>
  </si>
  <si>
    <t>06.52.74</t>
  </si>
  <si>
    <t>Thorstrup SFO</t>
  </si>
  <si>
    <t>Køb/Salg af grunde</t>
  </si>
  <si>
    <t>002.202</t>
  </si>
  <si>
    <t>002.203</t>
  </si>
  <si>
    <t>Udenfor rammen - 100% overførsel</t>
  </si>
  <si>
    <t>Musik- og billedskolen</t>
  </si>
  <si>
    <t>Rollemodelprojekt</t>
  </si>
  <si>
    <t>Forældrerolleprojekt</t>
  </si>
  <si>
    <t>Dagplejen</t>
  </si>
  <si>
    <t>Kystsikring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</si>
  <si>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</si>
  <si>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</si>
  <si>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</si>
  <si>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</si>
  <si>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</si>
  <si>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</si>
  <si>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</si>
  <si>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013.865</t>
  </si>
  <si>
    <t>Standardisering af infrastruktur</t>
  </si>
  <si>
    <t>00.22.05</t>
  </si>
  <si>
    <t>Valg</t>
  </si>
  <si>
    <t xml:space="preserve"> </t>
  </si>
  <si>
    <t>Pulje til fastholdelse, trivsel og forebyggelse</t>
  </si>
  <si>
    <t>350.001</t>
  </si>
  <si>
    <t>Varde Vest</t>
  </si>
  <si>
    <t>Firkløveret</t>
  </si>
  <si>
    <t>Børneuniverset</t>
  </si>
  <si>
    <t>Blåbjergegnens dagtilbud</t>
  </si>
  <si>
    <t>Daginst. Skovbrynet</t>
  </si>
  <si>
    <t>Go´mad til børn</t>
  </si>
  <si>
    <t>Samuelsgårdens SFO 1</t>
  </si>
  <si>
    <t>Ølgod Skole</t>
  </si>
  <si>
    <t>Ølgod Skole SFO</t>
  </si>
  <si>
    <t>Dok. nr:</t>
  </si>
  <si>
    <t>Aftaleholder/område:</t>
  </si>
  <si>
    <t>Afsluttet, overføres ikke</t>
  </si>
  <si>
    <t>Ubestemte formål/arealer til udlejning</t>
  </si>
  <si>
    <t>Faste ejend.- Fælles formål</t>
  </si>
  <si>
    <t>06.45.51+53</t>
  </si>
  <si>
    <t>Kommunalbestyrelsesmedlemmer</t>
  </si>
  <si>
    <t>Fælles kontorhold</t>
  </si>
  <si>
    <t>Konsulentbistand</t>
  </si>
  <si>
    <t>Kommunikation, markedsføring og udvikling</t>
  </si>
  <si>
    <t>Infrastruktur</t>
  </si>
  <si>
    <t>Servicedisk</t>
  </si>
  <si>
    <t>Projekter</t>
  </si>
  <si>
    <t>Intern salg</t>
  </si>
  <si>
    <t>Leje og leasing</t>
  </si>
  <si>
    <t>Fagsystem mm</t>
  </si>
  <si>
    <t>Aflevering af data til Statens arkiver</t>
  </si>
  <si>
    <t>Helhedsplanen, Boulevarden</t>
  </si>
  <si>
    <t>Handicapkørsel</t>
  </si>
  <si>
    <t>Central pulje til fratrådt personale ifm sparekatalog</t>
  </si>
  <si>
    <t>Akutbidrag-1 øres pulje</t>
  </si>
  <si>
    <t>Separering af kloak ved kommunale ejendomme</t>
  </si>
  <si>
    <t>Faste ejendomme og fritidsfaciliteter</t>
  </si>
  <si>
    <t>Idræt, Fritid og Folkeoplysning</t>
  </si>
  <si>
    <t>Kulturel virksomhed</t>
  </si>
  <si>
    <t>00.25 /00.32</t>
  </si>
  <si>
    <t>03.22/03.38</t>
  </si>
  <si>
    <t>03.35</t>
  </si>
  <si>
    <t>05.72</t>
  </si>
  <si>
    <t>301 m. fl.</t>
  </si>
  <si>
    <t>510 m. fl.</t>
  </si>
  <si>
    <t>Del af elforbrug - Grønt område</t>
  </si>
  <si>
    <t>Skadedyrsbekæmpelse</t>
  </si>
  <si>
    <t>Byfornyelse - fælles udg/indt.</t>
  </si>
  <si>
    <t>00.25.15</t>
  </si>
  <si>
    <t>Pulje til bygninger/ældreboliger - som skal afvikles</t>
  </si>
  <si>
    <t>Lederløn - indenfor direktionens ramme</t>
  </si>
  <si>
    <t>Budgetoverførsel i alt</t>
  </si>
  <si>
    <t>Uddannelse/netværk</t>
  </si>
  <si>
    <t>Træning og Rehabilitering</t>
  </si>
  <si>
    <t>Varde årets cykelkommune</t>
  </si>
  <si>
    <t>Skimmelsvampanalyser</t>
  </si>
  <si>
    <t>IT afdeling</t>
  </si>
  <si>
    <t>Puljebeløb til områdefornyelse Varde Midtby</t>
  </si>
  <si>
    <t>Varde Midtby - Projekter - bosætnings- og turistby</t>
  </si>
  <si>
    <t>Shellgrundens offentlige del - opholdstorv ned til Varde Å</t>
  </si>
  <si>
    <t>Områdefornyelse Varde Midtby - Kulturelle aktiviteter på Torvet</t>
  </si>
  <si>
    <t>Etablering af sti langs Ansager Kanal</t>
  </si>
  <si>
    <t>301881</t>
  </si>
  <si>
    <t>375801</t>
  </si>
  <si>
    <t>Ungdomshus</t>
  </si>
  <si>
    <t>Indskud i Landsbyggefonden</t>
  </si>
  <si>
    <t>Kultur og Fritid i alt</t>
  </si>
  <si>
    <t>Social og Handicap</t>
  </si>
  <si>
    <t>Samstyrken</t>
  </si>
  <si>
    <t>Ældre og Handicap</t>
  </si>
  <si>
    <t xml:space="preserve">Lystbådehavne mv. </t>
  </si>
  <si>
    <t>Kommunale bygninger</t>
  </si>
  <si>
    <t>Kollektiv trafik - Busdrift</t>
  </si>
  <si>
    <t>Sundhedsf.bolig/skimmelsvamp</t>
  </si>
  <si>
    <t>Fra Kyst til Kyst</t>
  </si>
  <si>
    <t>Vådområdeprojekt Kvong Mose</t>
  </si>
  <si>
    <t>Tilskud til frivilligt socialt arbejde</t>
  </si>
  <si>
    <t>Pulje til byfornyelser/byudviklings-planer i diverse byer</t>
  </si>
  <si>
    <t>Områdefornyelse varde Midtby - oplevelsesloop</t>
  </si>
  <si>
    <t>Områdefornyelse Varde Midtby - Minibyen</t>
  </si>
  <si>
    <t>Områdefornyelse Varde Midtby - Forskønnelse af gader, veje, stier, m.v.</t>
  </si>
  <si>
    <t>Bygningsfornyelse Varde Midtby - del af byforny.projekt</t>
  </si>
  <si>
    <t>HolmeÅ - genopretning</t>
  </si>
  <si>
    <t>Energibesparende foranst. - Gadebelysning</t>
  </si>
  <si>
    <t xml:space="preserve">Varde Bymidte </t>
  </si>
  <si>
    <t>Fodgængertunnel under banen Plantagevej, Varde</t>
  </si>
  <si>
    <t>Projektændring, adgangsvej til ny grusgrav i Kjelst</t>
  </si>
  <si>
    <t>Renovering af broer - Budgetbeløb</t>
  </si>
  <si>
    <t>Udskiftning af vejafvanding fbm kloakserarering</t>
  </si>
  <si>
    <t>Afledte byforskønnelser - kloakseparering diverse byer</t>
  </si>
  <si>
    <t>015818</t>
  </si>
  <si>
    <t>015823</t>
  </si>
  <si>
    <t>015825</t>
  </si>
  <si>
    <t>015826</t>
  </si>
  <si>
    <t>015832</t>
  </si>
  <si>
    <t>015834</t>
  </si>
  <si>
    <t>015838</t>
  </si>
  <si>
    <t>015842</t>
  </si>
  <si>
    <t>015861</t>
  </si>
  <si>
    <t>070830</t>
  </si>
  <si>
    <t>211840</t>
  </si>
  <si>
    <t>222874</t>
  </si>
  <si>
    <t>222898</t>
  </si>
  <si>
    <t>222908</t>
  </si>
  <si>
    <t>222917</t>
  </si>
  <si>
    <t>223820</t>
  </si>
  <si>
    <t>223821</t>
  </si>
  <si>
    <t>223830</t>
  </si>
  <si>
    <t>Områdefornyelse, Kulturspinderiet</t>
  </si>
  <si>
    <t>06.45.50</t>
  </si>
  <si>
    <t>Kantinedrift</t>
  </si>
  <si>
    <t>Fritidssamråd</t>
  </si>
  <si>
    <t>Udviklingsråd</t>
  </si>
  <si>
    <t>Administrationsbygninger</t>
  </si>
  <si>
    <t>Drift af kommunebiler</t>
  </si>
  <si>
    <t>Sundhed og rehabilitering</t>
  </si>
  <si>
    <t>Staben sundhed og Rehabilitering</t>
  </si>
  <si>
    <t>Center for Sundhedsfremme</t>
  </si>
  <si>
    <t>Center Bøgely</t>
  </si>
  <si>
    <t>Investeringer vedr. energibespar.foranstaltninger</t>
  </si>
  <si>
    <t>Alsev Juniorklub</t>
  </si>
  <si>
    <t>Ansager Juniorklub</t>
  </si>
  <si>
    <t>Brorsonskolen Juniorklub</t>
  </si>
  <si>
    <t>Horne Juniorklub</t>
  </si>
  <si>
    <t>Janderup Juniorklub</t>
  </si>
  <si>
    <t>Lykkesgårds. Juniorklub</t>
  </si>
  <si>
    <t>Nordenskov Juniorklub</t>
  </si>
  <si>
    <t>Næsbjerg Juniorklub</t>
  </si>
  <si>
    <t>Outrup Juniorklub</t>
  </si>
  <si>
    <t xml:space="preserve">Jacobi, Juniorklubben </t>
  </si>
  <si>
    <t>Starup Juniorklub</t>
  </si>
  <si>
    <t>Thorstrup Juniorklub</t>
  </si>
  <si>
    <t>Tistrup Juniorklub</t>
  </si>
  <si>
    <t>Ølgod Juniorklub</t>
  </si>
  <si>
    <t>Årre Juniorklub</t>
  </si>
  <si>
    <t>Personale - Pau-elever</t>
  </si>
  <si>
    <t>510.01</t>
  </si>
  <si>
    <t>301..</t>
  </si>
  <si>
    <t>514812</t>
  </si>
  <si>
    <t>Årre Børnecenter</t>
  </si>
  <si>
    <t>06.42.41</t>
  </si>
  <si>
    <t>06.42.43</t>
  </si>
  <si>
    <t>06.42.42</t>
  </si>
  <si>
    <t>06.45.57</t>
  </si>
  <si>
    <t>03.22</t>
  </si>
  <si>
    <t>overføres ikke</t>
  </si>
  <si>
    <t>Udvalg: Økonomi og Erhverv</t>
  </si>
  <si>
    <t>015.828</t>
  </si>
  <si>
    <t>Økonomi og Erhverv</t>
  </si>
  <si>
    <t>Vej og Park</t>
  </si>
  <si>
    <t>Politik og Analyse</t>
  </si>
  <si>
    <t>Teknik og Miljø:</t>
  </si>
  <si>
    <t>Fælles funktion - Fælles formål</t>
  </si>
  <si>
    <t>Arbejder for fremmed regning</t>
  </si>
  <si>
    <t>Driftsbygninger og -pladser</t>
  </si>
  <si>
    <t>Grønne områder og naturpladser</t>
  </si>
  <si>
    <t>Projekt "Fortællinger i Naturpark"</t>
  </si>
  <si>
    <t>Låneramme vedr. overførte anlægsbeløb</t>
  </si>
  <si>
    <t>Ingen budgetoverførsler</t>
  </si>
  <si>
    <t>Ungdommens Uddannelses-</t>
  </si>
  <si>
    <t>vejledning (UU)</t>
  </si>
  <si>
    <t>314.05</t>
  </si>
  <si>
    <t>00.55.93</t>
  </si>
  <si>
    <t>Direktør Thomas Japp</t>
  </si>
  <si>
    <t>Ledelse og administration 201005</t>
  </si>
  <si>
    <t>Økonomi og Digitalisering</t>
  </si>
  <si>
    <t xml:space="preserve">Fjernelse af spærring ved Ansager Mølle </t>
  </si>
  <si>
    <t>Fjernelse af spærring i Ralm bæk</t>
  </si>
  <si>
    <t>Holme Å - lavbundsprojekt</t>
  </si>
  <si>
    <t>Forundersøgelse for vandløbsprojekter - område 3</t>
  </si>
  <si>
    <t>Strategiplan for landdistriketr Outrup "Yderområder på forkant"</t>
  </si>
  <si>
    <t>06.48.68</t>
  </si>
  <si>
    <t>010.807</t>
  </si>
  <si>
    <t xml:space="preserve">Vedligeholdelse af kommunale bygninger - Central Pulje </t>
  </si>
  <si>
    <t xml:space="preserve">Nybygning af toiletbygning i Varde Godkendt budget 2015 </t>
  </si>
  <si>
    <t>Landsbyfornyelse 2016</t>
  </si>
  <si>
    <t>015821</t>
  </si>
  <si>
    <t>015824</t>
  </si>
  <si>
    <t>Puljebeløb til byfornyelse/byudviklingsplaner i diverse byer</t>
  </si>
  <si>
    <t>Varde Torv - belægninger</t>
  </si>
  <si>
    <t>015830</t>
  </si>
  <si>
    <t>Områdefornyelse Varde Midtby - Storegades forskønnelse</t>
  </si>
  <si>
    <t>015840</t>
  </si>
  <si>
    <t>Bygningsfornyelse Varde Midtby 2016  - del af byforny.projekt</t>
  </si>
  <si>
    <t>015862</t>
  </si>
  <si>
    <t>Bygning af orangeri i Tambours Have</t>
  </si>
  <si>
    <t xml:space="preserve">Pleje af fredninger </t>
  </si>
  <si>
    <t>222822</t>
  </si>
  <si>
    <t>Trafiksikkerhedsprojekter</t>
  </si>
  <si>
    <t>Prioritering af cykelstiprojekter 2015-2018</t>
  </si>
  <si>
    <t>222910</t>
  </si>
  <si>
    <t xml:space="preserve">Renovering af Blåvandvej </t>
  </si>
  <si>
    <t>222916</t>
  </si>
  <si>
    <t>Cykelsti i samarbejde med Rngkøbing-Skjern Kommune</t>
  </si>
  <si>
    <t>222921</t>
  </si>
  <si>
    <t>Cykelsti Fra Janderup til Kærup</t>
  </si>
  <si>
    <t>222926</t>
  </si>
  <si>
    <t xml:space="preserve">Cykelsti Ringkøbingvej fra Campus til Stilbjergvej </t>
  </si>
  <si>
    <t>222927</t>
  </si>
  <si>
    <t>Varde, VUC i Campusbygning</t>
  </si>
  <si>
    <t>Politik &amp; Analyse</t>
  </si>
  <si>
    <t>I.T.</t>
  </si>
  <si>
    <t>06.45.52</t>
  </si>
  <si>
    <t>Staben Personale &amp; Udvikling</t>
  </si>
  <si>
    <t>Staben Social &amp; Sundhed</t>
  </si>
  <si>
    <t>Social &amp; Handicap</t>
  </si>
  <si>
    <t>Vej &amp; Park</t>
  </si>
  <si>
    <t>06.45.58</t>
  </si>
  <si>
    <t>Byrådets udviklingspulje</t>
  </si>
  <si>
    <t>Direktionens tværfaglige ad hoc pulje</t>
  </si>
  <si>
    <t>Kommissioner, råd og nævn</t>
  </si>
  <si>
    <t>GIS</t>
  </si>
  <si>
    <t>Andel af landskvote-integrationsområdet</t>
  </si>
  <si>
    <t>Elektronisk jobdatabase</t>
  </si>
  <si>
    <t>MED-kurser</t>
  </si>
  <si>
    <t>Kultur &amp; Fritid</t>
  </si>
  <si>
    <t>Bosætning</t>
  </si>
  <si>
    <t>Vækststrategi/vækstuge</t>
  </si>
  <si>
    <t>Delegationsaftaler</t>
  </si>
  <si>
    <t>Energibesparende foranstaltninger</t>
  </si>
  <si>
    <t>Planlægning - kommune &amp; lokalplaner</t>
  </si>
  <si>
    <t>Planlægning -administrationsudgift</t>
  </si>
  <si>
    <t>Børn og Forebyggelse</t>
  </si>
  <si>
    <t>Projekt - faglig ledelse</t>
  </si>
  <si>
    <t>Projekt - KEEP</t>
  </si>
  <si>
    <t>Nedbrydning af hovedbygning, Thueslund Alslev</t>
  </si>
  <si>
    <t>018837</t>
  </si>
  <si>
    <t>Ombygning Krogen 7</t>
  </si>
  <si>
    <t>018838</t>
  </si>
  <si>
    <t>Træningsfaciliteter på plejecentrene</t>
  </si>
  <si>
    <t>482850</t>
  </si>
  <si>
    <t>Medborgerhuset</t>
  </si>
  <si>
    <t>4 Udenfor rammen - 100% overførsel</t>
  </si>
  <si>
    <t>3 Lederløn - indenfor direktionens ramme</t>
  </si>
  <si>
    <t>1 Indenfor rammen:</t>
  </si>
  <si>
    <t>Rengøring under Teknik og Miljø</t>
  </si>
  <si>
    <t>Idrætsfaciliteter v. Lykkesgårdskolen</t>
  </si>
  <si>
    <t>Implementering af halplan</t>
  </si>
  <si>
    <t>Janusbygningen - tilskud til udvidelse</t>
  </si>
  <si>
    <t>Omsorgs- og specialtandpleje</t>
  </si>
  <si>
    <t>301853</t>
  </si>
  <si>
    <t>Multisal ved Skolen i Agerbæk, inc. Ideoplæg</t>
  </si>
  <si>
    <t>301887</t>
  </si>
  <si>
    <t>301889</t>
  </si>
  <si>
    <t>Renovering af Brorsonskolen</t>
  </si>
  <si>
    <t>301890</t>
  </si>
  <si>
    <t>Starup Skole - udskiftning af tag</t>
  </si>
  <si>
    <t>Hertil rest på driften som overføres til anlæg</t>
  </si>
  <si>
    <t>Vedr. renovering- og anlægspuljen 2015</t>
  </si>
  <si>
    <t>Budgetoverførsler fra 2017 til 2018</t>
  </si>
  <si>
    <t>Budget-
overførseler fra 2017 til 2018</t>
  </si>
  <si>
    <t>Børn og Læring</t>
  </si>
  <si>
    <t>Låneramme vedr. 2017. Lån optages i 2018</t>
  </si>
  <si>
    <t>Korrigeret budget 2017</t>
  </si>
  <si>
    <t>Regnskab 2017</t>
  </si>
  <si>
    <t>Nr.</t>
  </si>
  <si>
    <t>Total overførsel fra 2017 til 2018 - drift</t>
  </si>
  <si>
    <t>Korr. budget 2017</t>
  </si>
  <si>
    <t>Budget-
overførsel fra 2017 til 2018</t>
  </si>
  <si>
    <t>Budgetoverførsel fra 2017 til 2018</t>
  </si>
  <si>
    <t>15897-18</t>
  </si>
  <si>
    <t>15890-18</t>
  </si>
  <si>
    <t>15882-18</t>
  </si>
  <si>
    <t>15870-18</t>
  </si>
  <si>
    <t>15859-18</t>
  </si>
  <si>
    <t>Ejendomme</t>
  </si>
  <si>
    <t>013</t>
  </si>
  <si>
    <t>Musikskole</t>
  </si>
  <si>
    <t>Andre kulturelle billedskole</t>
  </si>
  <si>
    <t>Musik- og billedskolen i alt</t>
  </si>
  <si>
    <t>Kommunemomsudligning (u. overførsel)</t>
  </si>
  <si>
    <t xml:space="preserve">merudgift overenskomsttigning </t>
  </si>
  <si>
    <t>23432-17</t>
  </si>
  <si>
    <t>Dok.nr. 22981-18</t>
  </si>
  <si>
    <t>013903</t>
  </si>
  <si>
    <t>Nedrivning af gammel børnehave/skole i Årre</t>
  </si>
  <si>
    <t>Cykellegebane</t>
  </si>
  <si>
    <t>020868</t>
  </si>
  <si>
    <t>Nedlæggelse af brandhaner</t>
  </si>
  <si>
    <t>Varde Museum, Danmarks Flygtningemuseum</t>
  </si>
  <si>
    <t>095825</t>
  </si>
  <si>
    <t>Salg af Blåvandvej 1B</t>
  </si>
  <si>
    <t>005.855</t>
  </si>
  <si>
    <t>Sag 17/12341/dok 4306-18</t>
  </si>
  <si>
    <t>06.45.51+57</t>
  </si>
  <si>
    <t>Børn og Familie</t>
  </si>
  <si>
    <t>Konsulentbistand/særlige aktiviteter-Teknik &amp; Kultur</t>
  </si>
  <si>
    <t>Kørselsapp.</t>
  </si>
  <si>
    <t>Aktiv kystturisme - projekt</t>
  </si>
  <si>
    <t>06.48.62</t>
  </si>
  <si>
    <t>Turisme</t>
  </si>
  <si>
    <t>Innovation gennem natur og kunst, kunstlab</t>
  </si>
  <si>
    <t>06.48.67</t>
  </si>
  <si>
    <t>Vækst i Varde Kommune</t>
  </si>
  <si>
    <t>Mobilportal</t>
  </si>
  <si>
    <t>26370-18</t>
  </si>
  <si>
    <t>010 07 990-06</t>
  </si>
  <si>
    <t>013 65 810-07</t>
  </si>
  <si>
    <t>013 03 832-03</t>
  </si>
  <si>
    <t>020 68 810-03</t>
  </si>
  <si>
    <t>095 25 999-09</t>
  </si>
  <si>
    <t>360 12 850-01</t>
  </si>
  <si>
    <t>651 01 810-08</t>
  </si>
  <si>
    <t>651 07 999-07</t>
  </si>
  <si>
    <t>005 55 805-02</t>
  </si>
  <si>
    <t>Toiletbygning i Arnbjerg Parken</t>
  </si>
  <si>
    <t>Landsbyfornyelse 2017</t>
  </si>
  <si>
    <t>Byfornyelse Byudvikling - Ordinær byfornyelse - 2017</t>
  </si>
  <si>
    <t>Pilotprojekt - Rydning af hybenroser ved Blåvand fyr</t>
  </si>
  <si>
    <t>Projekt Tistrup Byskov</t>
  </si>
  <si>
    <t>Oprensning af okkerbassiner</t>
  </si>
  <si>
    <t>Thyrasvejs forlængelse til Yderikvej, Tistrup</t>
  </si>
  <si>
    <t>Cykelsti - mellem Næsbjerg og Nordenskov - 1. etape</t>
  </si>
  <si>
    <t>010815</t>
  </si>
  <si>
    <t>010816</t>
  </si>
  <si>
    <t>015822</t>
  </si>
  <si>
    <t>015827</t>
  </si>
  <si>
    <t>020867</t>
  </si>
  <si>
    <t>050835</t>
  </si>
  <si>
    <t>050875</t>
  </si>
  <si>
    <t>053845</t>
  </si>
  <si>
    <t>070820</t>
  </si>
  <si>
    <t>070850</t>
  </si>
  <si>
    <t>222922</t>
  </si>
  <si>
    <t>222928</t>
  </si>
  <si>
    <t>6259-18</t>
  </si>
  <si>
    <t>Faunapassage ved Debel Fiskeri RIB-00191</t>
  </si>
  <si>
    <t>Revision af vandløbsregulativer</t>
  </si>
  <si>
    <t>Oprydning Ansager Mølle Dambrug</t>
  </si>
  <si>
    <t>23846-18</t>
  </si>
  <si>
    <t>23826-18</t>
  </si>
  <si>
    <t>20459-18</t>
  </si>
  <si>
    <t>20924-18</t>
  </si>
  <si>
    <t>Ældreområde Øst</t>
  </si>
  <si>
    <t>26725-18</t>
  </si>
  <si>
    <t>Ældreområde Syd</t>
  </si>
  <si>
    <t>26730-18</t>
  </si>
  <si>
    <t>Ældreområde Vest</t>
  </si>
  <si>
    <t>26732-18</t>
  </si>
  <si>
    <t>Ældreområde Nord</t>
  </si>
  <si>
    <t>26848-18</t>
  </si>
  <si>
    <t>27577-18</t>
  </si>
  <si>
    <t>26817-18</t>
  </si>
  <si>
    <t>20850-18</t>
  </si>
  <si>
    <t>26628-18</t>
  </si>
  <si>
    <t>20107-18</t>
  </si>
  <si>
    <t>27583-18</t>
  </si>
  <si>
    <t>23810-18</t>
  </si>
  <si>
    <t>Borgerservice - Kørselkontoret</t>
  </si>
  <si>
    <t>21274-18</t>
  </si>
  <si>
    <t>21256-18</t>
  </si>
  <si>
    <t>27585-18</t>
  </si>
  <si>
    <t>Social og handicap</t>
  </si>
  <si>
    <t>Hjælpemiddeldepotet</t>
  </si>
  <si>
    <t>*</t>
  </si>
  <si>
    <t>Servicearealer, handicapboliger Løkkevang, Ølgod</t>
  </si>
  <si>
    <t>018842</t>
  </si>
  <si>
    <t>Servicearealer, Ældrecentret Hybenbo, Årre</t>
  </si>
  <si>
    <t>018843</t>
  </si>
  <si>
    <t>Blåbjerg Pl. Centers køkken - incl. tilskud</t>
  </si>
  <si>
    <t>018854</t>
  </si>
  <si>
    <t>Projekt "køkkenrenov. Carolineparken, Varde"</t>
  </si>
  <si>
    <t>019850</t>
  </si>
  <si>
    <t>4306-18</t>
  </si>
  <si>
    <t>Udvalg: Børn og Undervisning</t>
  </si>
  <si>
    <t>14461-18</t>
  </si>
  <si>
    <t>Bhv. Regnbuen, Horne</t>
  </si>
  <si>
    <t>14462-18</t>
  </si>
  <si>
    <t>14463-18</t>
  </si>
  <si>
    <t>Bhv. Møllehuset, Tistrup</t>
  </si>
  <si>
    <t>14464-18</t>
  </si>
  <si>
    <t>Bhv. Højgårdsparken</t>
  </si>
  <si>
    <t>14467-18</t>
  </si>
  <si>
    <t>14468-18</t>
  </si>
  <si>
    <t>14470-18</t>
  </si>
  <si>
    <t>14471-18</t>
  </si>
  <si>
    <t>14472-18</t>
  </si>
  <si>
    <t>Daginst. Skovmusen</t>
  </si>
  <si>
    <t>14474-18</t>
  </si>
  <si>
    <t>14476-18</t>
  </si>
  <si>
    <t>Institution Øst</t>
  </si>
  <si>
    <t>14477-18</t>
  </si>
  <si>
    <t>Institution Nord-Øst</t>
  </si>
  <si>
    <t>14479-18</t>
  </si>
  <si>
    <t>14480-18</t>
  </si>
  <si>
    <t>14482-18</t>
  </si>
  <si>
    <t>Agerbæk Juniorklub</t>
  </si>
  <si>
    <t>14483-18</t>
  </si>
  <si>
    <t>14485-18</t>
  </si>
  <si>
    <t>Billum Børnehave</t>
  </si>
  <si>
    <t>14488-18</t>
  </si>
  <si>
    <t>14490-18</t>
  </si>
  <si>
    <t>Samuelsgårdens SFO 2</t>
  </si>
  <si>
    <t>Samuelsgården SFO 3</t>
  </si>
  <si>
    <t>14492-18</t>
  </si>
  <si>
    <t>14494-18</t>
  </si>
  <si>
    <t>14496-18</t>
  </si>
  <si>
    <t>14498-18</t>
  </si>
  <si>
    <t>14500-18</t>
  </si>
  <si>
    <t>14501-18</t>
  </si>
  <si>
    <t>14503-18</t>
  </si>
  <si>
    <t>14504-18</t>
  </si>
  <si>
    <t>14505-18</t>
  </si>
  <si>
    <t>14506-18</t>
  </si>
  <si>
    <t>14507-18</t>
  </si>
  <si>
    <t>14508-18</t>
  </si>
  <si>
    <t>14509-18</t>
  </si>
  <si>
    <t>14511-18</t>
  </si>
  <si>
    <t>14512-18</t>
  </si>
  <si>
    <t>14513-18</t>
  </si>
  <si>
    <t>10ICampus</t>
  </si>
  <si>
    <t>Ungehus/Ungeråd</t>
  </si>
  <si>
    <t>14514-18</t>
  </si>
  <si>
    <t>14529-18</t>
  </si>
  <si>
    <t xml:space="preserve">Skoleafdelingen </t>
  </si>
  <si>
    <t>14515-18</t>
  </si>
  <si>
    <t>Skoleafd. - specialundervisning</t>
  </si>
  <si>
    <t>Skoleafdeling - overføres ikke</t>
  </si>
  <si>
    <t>Skoleafdeling - 100% overførsel</t>
  </si>
  <si>
    <t>Skoleafdeling - udenfor rammen</t>
  </si>
  <si>
    <t>Dagtilbudsafdelingen</t>
  </si>
  <si>
    <t>14517-18</t>
  </si>
  <si>
    <t>Restbudget startpakke overføres ikke</t>
  </si>
  <si>
    <t>Dagtilbudsafd. - 100% overførsel</t>
  </si>
  <si>
    <t>Dagtilbudsafd. - udenfor rammen</t>
  </si>
  <si>
    <t>14520-18</t>
  </si>
  <si>
    <t>Børn og Familie:</t>
  </si>
  <si>
    <t>14523-18</t>
  </si>
  <si>
    <t>Børn og Familie myndighed</t>
  </si>
  <si>
    <t>Børn og Familie indsatser</t>
  </si>
  <si>
    <t xml:space="preserve">Psykologerne </t>
  </si>
  <si>
    <t>Tidlig indsats</t>
  </si>
  <si>
    <t>Tandplejen</t>
  </si>
  <si>
    <t>Tippen - indtægtskonti - udenfor rammen</t>
  </si>
  <si>
    <t>Igangværende anlægsprojekter</t>
  </si>
  <si>
    <t>Børn og Undervisning</t>
  </si>
  <si>
    <t>Korr. Budget</t>
  </si>
  <si>
    <t>Regnskab</t>
  </si>
  <si>
    <t>Overførsel fra</t>
  </si>
  <si>
    <t>2017 til 2018</t>
  </si>
  <si>
    <t>Renovering - og anlægspulje skoler og dagtilbud Budget konto</t>
  </si>
  <si>
    <t>Renovering- og anlægspuljen  skoler og dagtilbud - budgetkonto</t>
  </si>
  <si>
    <t>301888</t>
  </si>
  <si>
    <t>Renovering- og anlægspulje skoler og dagtilbud - budgetkonto</t>
  </si>
  <si>
    <t>301893</t>
  </si>
  <si>
    <t>Salg af Billum Skole</t>
  </si>
  <si>
    <t>301895</t>
  </si>
  <si>
    <t>Anlægsinv. - Ny struktur på skole og dagtilbudsområdet</t>
  </si>
  <si>
    <t xml:space="preserve">Total </t>
  </si>
  <si>
    <t xml:space="preserve">Herudover overføres 181.066 kr. på driftsbudgettet vedr. anlægs- og </t>
  </si>
  <si>
    <t>renoveringspuljen for 2015 til færdiggørelse af projekter i 2018.</t>
  </si>
  <si>
    <t>Budgetoverførsel fra 2017 til 2018 - anlæg</t>
  </si>
  <si>
    <t>Statusbeskrivelse</t>
  </si>
  <si>
    <t xml:space="preserve">Overføres til 2018 til afslutning af bevilliget projekter </t>
  </si>
  <si>
    <t xml:space="preserve">Projekt afsluttes ? </t>
  </si>
  <si>
    <t>Overføres til 2018</t>
  </si>
  <si>
    <t>Projektet overføres til 2018 til gennemførelse af byggeriet</t>
  </si>
  <si>
    <t>Overføres til 2018 - endelig afregningsker pr. 1. august 2018</t>
  </si>
  <si>
    <t>Overførsel til 2018 til gennemførelse af byggeriet</t>
  </si>
  <si>
    <t>Indgår i vedtaget budget 2018 hvorfor beløbet ikke overføres.</t>
  </si>
  <si>
    <t>Dok.nr. 23118-18</t>
  </si>
  <si>
    <t>Dok.nr. 28391-18</t>
  </si>
  <si>
    <t>Budget-
overførsel fra 2016 til 2017</t>
  </si>
  <si>
    <t>Faste ejend. - Andre faste ejd.</t>
  </si>
  <si>
    <t xml:space="preserve">Adm. af vejvedligeholdelse </t>
  </si>
  <si>
    <t>Øvrige mindre poster</t>
  </si>
  <si>
    <t>Budget-overførsel fra 2016 til 2017</t>
  </si>
  <si>
    <t>Staben Ældre og Handicap, fællesudg./indt.</t>
  </si>
  <si>
    <t>Konsulenter vedr. ældreområdet</t>
  </si>
  <si>
    <t>Konsulenter vedr.elevsekretariat</t>
  </si>
  <si>
    <t>Blåbjerg Pleje- og aktivitetscenter</t>
  </si>
  <si>
    <t>Afprøvningsteam hjælpemidler - visistation</t>
  </si>
  <si>
    <t>Afprøvningsteam hjælpemidler - administration</t>
  </si>
  <si>
    <t>Overføres ikke vedr, staben Sundhed og rehab.</t>
  </si>
  <si>
    <t>Team vedr. misbrug</t>
  </si>
  <si>
    <t>Hellestedet - rengøring</t>
  </si>
  <si>
    <t>Bostedsystemet</t>
  </si>
  <si>
    <t>Forebyggende hjemmebesøg</t>
  </si>
  <si>
    <t>Demens</t>
  </si>
  <si>
    <t>Ældreområde Øst, fællesudgifter/indt.</t>
  </si>
  <si>
    <t>Hjemmeplejen område Øst</t>
  </si>
  <si>
    <t>Birgittegården Sig</t>
  </si>
  <si>
    <t>Æblehaven, Næsbjerg</t>
  </si>
  <si>
    <t>Sognelunden, Agerbæk</t>
  </si>
  <si>
    <t>Solhøj, Nordenskov</t>
  </si>
  <si>
    <t>Hybenbo, Årre</t>
  </si>
  <si>
    <t>Ansager Plejecenter</t>
  </si>
  <si>
    <t>Helle Plejecenter</t>
  </si>
  <si>
    <t>Dagcentre område Øst</t>
  </si>
  <si>
    <t>Overføres ikke vedr, Område Øst</t>
  </si>
  <si>
    <t>Ældreområde Syd, Fællesudgifter/indtægter</t>
  </si>
  <si>
    <t>Hjemmeplejen område Syd</t>
  </si>
  <si>
    <t>Lyngparken, Varde</t>
  </si>
  <si>
    <t>Bofællesskabet Lyngparken, Varde</t>
  </si>
  <si>
    <t>Søgården, Lyngparken, Varde</t>
  </si>
  <si>
    <t>Thueslund, Alslev</t>
  </si>
  <si>
    <t>Dagcentre område Syd</t>
  </si>
  <si>
    <t>Træning i arbejdstiden, Lyngparken</t>
  </si>
  <si>
    <t>Overføres ikke vedr, Område Syd</t>
  </si>
  <si>
    <t>Carolineparken, Varde</t>
  </si>
  <si>
    <t>Døgnrehabilitering, Carolineparken</t>
  </si>
  <si>
    <t>Poghøj, Oksbøl</t>
  </si>
  <si>
    <t>Skovhøj, Oksbøl</t>
  </si>
  <si>
    <t>Dagcentre Område Vest</t>
  </si>
  <si>
    <t>Træning i arbejdstiden, Carolineparken</t>
  </si>
  <si>
    <t>Overføres ikke vedr. Område Vest</t>
  </si>
  <si>
    <t>Ældreområde Nord, Fællesudg./indtægter</t>
  </si>
  <si>
    <t>Baunbo, Lunde</t>
  </si>
  <si>
    <t>Hornelund, Horne</t>
  </si>
  <si>
    <t>Tistrup Plejecenter</t>
  </si>
  <si>
    <t>Aktivitetscenteret, Ølgod</t>
  </si>
  <si>
    <t>Vinkelvejventeret, Ølgod</t>
  </si>
  <si>
    <t>Møllegården, Outrup</t>
  </si>
  <si>
    <t>Dagcenter, ældreområde Nord</t>
  </si>
  <si>
    <t>Overføres ikke vedr. Område Nord</t>
  </si>
  <si>
    <t>Lunden, Fællesudgifter/indtægter</t>
  </si>
  <si>
    <t>Nattevagter, Lunden</t>
  </si>
  <si>
    <t>Lundbo I</t>
  </si>
  <si>
    <t>Lundbo II</t>
  </si>
  <si>
    <t>Lundbo III</t>
  </si>
  <si>
    <t>Aktivitetsafdelingen, Lunden</t>
  </si>
  <si>
    <t>Trænings- og aktivitetsafdelingen, Lunden</t>
  </si>
  <si>
    <t>Rehabiliteringsafdelingen, Lunden</t>
  </si>
  <si>
    <t>Dagtilbud, Lunden</t>
  </si>
  <si>
    <t>§85-ydelser, Lunden</t>
  </si>
  <si>
    <t>Socialpsykiatrien, Fællesudgifter/Indtægter</t>
  </si>
  <si>
    <t>Socialpsykiatrien, Bostøtte §85</t>
  </si>
  <si>
    <t>Botilbuddet Vidagerhus, Janderup</t>
  </si>
  <si>
    <t>Gæstepladser, Vidagerhus</t>
  </si>
  <si>
    <t>Mentor, Socialpsykiatrien</t>
  </si>
  <si>
    <t>Hjemmestøtten §99</t>
  </si>
  <si>
    <t>De Gule Huse, §85-støtte</t>
  </si>
  <si>
    <t>Støttecenter Lindeallé, Ølgod</t>
  </si>
  <si>
    <t>Værestedet Dalgashus, Varde</t>
  </si>
  <si>
    <t>Samstyrken, Fællesudgifter/indtægter</t>
  </si>
  <si>
    <t>Samstyrken, Krogen 3, Varde</t>
  </si>
  <si>
    <t>Samstyrken, Krogen 5, Varde</t>
  </si>
  <si>
    <t>Samstyrken, Kærhøgevej, Varde</t>
  </si>
  <si>
    <t>Samstyrken, Jægumsvej 44, Voksne, Varde</t>
  </si>
  <si>
    <t>Samstyrken, Jægumsvej 44, Børn, Varde</t>
  </si>
  <si>
    <t>Samstyrken, Vænget, Årre</t>
  </si>
  <si>
    <t>Samstyrken, Østervang, Varde</t>
  </si>
  <si>
    <t>Samstyrken, Rosenvænget, Ølgod</t>
  </si>
  <si>
    <t>Samstyrken, Kirkegade, Oksbøl</t>
  </si>
  <si>
    <t>Samstyrken, Frisvadvej, Varde</t>
  </si>
  <si>
    <t>Samstyrken, Beskæftigelsen, Varde og Ølgod</t>
  </si>
  <si>
    <t>Ejendomskontoret - Rengøring</t>
  </si>
  <si>
    <t>21366-18</t>
  </si>
  <si>
    <t>Overføres ikke vedr. rengøring</t>
  </si>
  <si>
    <t>Total Rengøring</t>
  </si>
  <si>
    <t>Borgerservice - Begravelseshjælp</t>
  </si>
  <si>
    <t>Total Borgerservice</t>
  </si>
  <si>
    <t>- Projekter med tilskud fra staten</t>
  </si>
  <si>
    <t>- Implementering af Fællessprog III</t>
  </si>
  <si>
    <t>- Klippekortsordning</t>
  </si>
  <si>
    <t>- Den gamle købmandsgård</t>
  </si>
  <si>
    <t xml:space="preserve">- Frivilligt socialt arbejde </t>
  </si>
  <si>
    <t>- Øvrige projekter</t>
  </si>
  <si>
    <t>- Velfærdsteknologi</t>
  </si>
  <si>
    <t>- Restbeløb ældreanalyse mm.</t>
  </si>
  <si>
    <t>- Overføres ikke vedr. Fagstab Ældre</t>
  </si>
  <si>
    <t>Total Fagstab ældre</t>
  </si>
  <si>
    <t>- Bassintræning</t>
  </si>
  <si>
    <t>- Det nære sundhedsvæsen</t>
  </si>
  <si>
    <t>- Midler til rygestop for socialt udsatte</t>
  </si>
  <si>
    <t>- Hygiejneorganisation</t>
  </si>
  <si>
    <t>- Kroniker og lungesatsning</t>
  </si>
  <si>
    <t>- Styrkelse af synlighed om resultater og data</t>
  </si>
  <si>
    <t>- Sundhedspolitikken</t>
  </si>
  <si>
    <t>- Kræftmidler</t>
  </si>
  <si>
    <t>- Overføres ikke vedr. Fagstab sundhed</t>
  </si>
  <si>
    <t>Afsluttede projekter</t>
  </si>
  <si>
    <t>Total Fagstab Sundhed</t>
  </si>
  <si>
    <t>- Kompetanceudvikling</t>
  </si>
  <si>
    <t>- Diverse projekter</t>
  </si>
  <si>
    <t>- Aktiviteter for yngre demente (kompasklubben)</t>
  </si>
  <si>
    <t>Total Center for sundhedsfremme</t>
  </si>
  <si>
    <t>Socialpsykiatrien, donationer og uddannelse</t>
  </si>
  <si>
    <t>- Overføres ikke vedr. hjælpemiddeldepotet</t>
  </si>
  <si>
    <t>Total Hjælpemiddeldepotet</t>
  </si>
  <si>
    <t>Samstyrken, arv + kompetencemidler</t>
  </si>
  <si>
    <t>Beløb der ikke overføres (inkl. rengøring)</t>
  </si>
  <si>
    <t>Hjemmesygeplejen, kompetenceudv.midler</t>
  </si>
  <si>
    <t>Mindreforbrug af værdighedsmidler</t>
  </si>
  <si>
    <t>Budget-
overførsler fra 2017 til 2018</t>
  </si>
  <si>
    <t>Budget-
overførsler fra 2016 til 2017</t>
  </si>
  <si>
    <t xml:space="preserve">Blaabjergskolen Nr. Nebel </t>
  </si>
  <si>
    <t>Blaabjergskolen Nr. Nebel SFO</t>
  </si>
  <si>
    <t>Blaabjergskolen Nr. Nebel Juniorklub</t>
  </si>
  <si>
    <t>Blaabjergskolen Lunde-Kvong SFO</t>
  </si>
  <si>
    <t>Blaabjergskolen Lunde-Kvong Juniorklub</t>
  </si>
  <si>
    <t>30848-18</t>
  </si>
  <si>
    <t>Blaabjergskolen Lunde-Kvong</t>
  </si>
  <si>
    <t>I 2017 er der modtaget værdighedsmidler på 10.140.000 kr. Der har kun været et forbrug på 7.922.880 kr., hvorfor</t>
  </si>
  <si>
    <t>der skal overføres 2,2 mio. kr. til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</si>
</sst>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_ * #,##0_ ;_ * \-#,##0_ ;_ * &quot;-&quot;??_ ;_ @_ 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hair"/>
      <right style="medium"/>
      <top style="hair"/>
      <bottom style="hair"/>
    </border>
    <border>
      <left style="medium"/>
      <right style="hair"/>
      <top/>
      <bottom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ck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</borders>
  <cellStyleXfs count="1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3" borderId="2" applyNumberFormat="0" applyAlignment="0" applyProtection="0"/>
    <xf numFmtId="0" fontId="15" fillId="24" borderId="3" applyNumberFormat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361"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49" fontId="0" fillId="0" borderId="0" xfId="0" applyNumberFormat="1"/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7" fillId="33" borderId="0" xfId="0" applyFont="1" applyFill="1"/>
    <xf numFmtId="0" fontId="3" fillId="33" borderId="0" xfId="0" applyFont="1" applyFill="1"/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vertical="center" wrapText="1"/>
    </xf>
    <xf numFmtId="0" fontId="0" fillId="0" borderId="0" xfId="0" applyFont="1" applyBorder="1"/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53" applyNumberFormat="1" applyFo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/>
    <xf numFmtId="3" fontId="0" fillId="0" borderId="0" xfId="0" applyNumberFormat="1"/>
    <xf numFmtId="3" fontId="0" fillId="0" borderId="0" xfId="0" applyNumberFormat="1" applyFont="1" applyBorder="1"/>
    <xf numFmtId="0" fontId="3" fillId="0" borderId="13" xfId="0" applyFont="1" applyBorder="1"/>
    <xf numFmtId="3" fontId="0" fillId="0" borderId="13" xfId="0" applyNumberFormat="1" applyBorder="1"/>
    <xf numFmtId="0" fontId="3" fillId="0" borderId="0" xfId="0" applyFont="1"/>
    <xf numFmtId="3" fontId="0" fillId="0" borderId="0" xfId="0" applyNumberFormat="1"/>
    <xf numFmtId="0" fontId="4" fillId="33" borderId="12" xfId="0" applyFont="1" applyFill="1" applyBorder="1" applyAlignment="1">
      <alignment horizontal="centerContinuous"/>
    </xf>
    <xf numFmtId="0" fontId="0" fillId="0" borderId="0" xfId="0"/>
    <xf numFmtId="0" fontId="6" fillId="0" borderId="0" xfId="0" applyFont="1"/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3" xfId="0" applyBorder="1"/>
    <xf numFmtId="0" fontId="3" fillId="0" borderId="13" xfId="53" applyFont="1" applyBorder="1">
      <alignment/>
      <protection/>
    </xf>
    <xf numFmtId="0" fontId="0" fillId="0" borderId="13" xfId="53" applyBorder="1">
      <alignment/>
      <protection/>
    </xf>
    <xf numFmtId="0" fontId="0" fillId="0" borderId="13" xfId="53" applyBorder="1" applyAlignment="1">
      <alignment horizontal="center"/>
      <protection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3" fontId="25" fillId="0" borderId="13" xfId="53" applyNumberFormat="1" applyFont="1" applyBorder="1">
      <alignment/>
      <protection/>
    </xf>
    <xf numFmtId="3" fontId="0" fillId="0" borderId="13" xfId="53" applyNumberFormat="1" applyBorder="1" applyAlignment="1">
      <alignment horizontal="center"/>
      <protection/>
    </xf>
    <xf numFmtId="3" fontId="0" fillId="0" borderId="13" xfId="53" applyNumberFormat="1" applyBorder="1">
      <alignment/>
      <protection/>
    </xf>
    <xf numFmtId="0" fontId="0" fillId="0" borderId="13" xfId="53" applyFont="1" applyBorder="1">
      <alignment/>
      <protection/>
    </xf>
    <xf numFmtId="0" fontId="0" fillId="0" borderId="13" xfId="53" applyBorder="1" applyAlignment="1">
      <alignment wrapText="1"/>
      <protection/>
    </xf>
    <xf numFmtId="3" fontId="0" fillId="0" borderId="13" xfId="53" applyNumberFormat="1" applyFill="1" applyBorder="1" applyAlignment="1">
      <alignment horizontal="left"/>
      <protection/>
    </xf>
    <xf numFmtId="3" fontId="0" fillId="0" borderId="13" xfId="53" applyNumberFormat="1" applyFill="1" applyBorder="1" applyAlignment="1">
      <alignment horizontal="left" wrapText="1"/>
      <protection/>
    </xf>
    <xf numFmtId="3" fontId="3" fillId="0" borderId="13" xfId="53" applyNumberFormat="1" applyFont="1" applyBorder="1">
      <alignment/>
      <protection/>
    </xf>
    <xf numFmtId="3" fontId="3" fillId="0" borderId="13" xfId="53" applyNumberFormat="1" applyFont="1" applyBorder="1" applyAlignment="1">
      <alignment horizontal="center"/>
      <protection/>
    </xf>
    <xf numFmtId="3" fontId="3" fillId="0" borderId="13" xfId="0" applyNumberFormat="1" applyFont="1" applyBorder="1"/>
    <xf numFmtId="0" fontId="3" fillId="0" borderId="13" xfId="0" applyFont="1" applyBorder="1"/>
    <xf numFmtId="0" fontId="0" fillId="0" borderId="13" xfId="0" applyFont="1" applyBorder="1"/>
    <xf numFmtId="0" fontId="3" fillId="34" borderId="13" xfId="0" applyFont="1" applyFill="1" applyBorder="1" applyAlignment="1" quotePrefix="1">
      <alignment horizontal="right" wrapText="1"/>
    </xf>
    <xf numFmtId="0" fontId="7" fillId="34" borderId="13" xfId="0" applyFont="1" applyFill="1" applyBorder="1"/>
    <xf numFmtId="0" fontId="0" fillId="34" borderId="13" xfId="0" applyFont="1" applyFill="1" applyBorder="1"/>
    <xf numFmtId="0" fontId="7" fillId="0" borderId="13" xfId="0" applyFont="1" applyBorder="1"/>
    <xf numFmtId="0" fontId="0" fillId="0" borderId="13" xfId="0" applyFont="1" applyFill="1" applyBorder="1"/>
    <xf numFmtId="0" fontId="0" fillId="0" borderId="13" xfId="0" applyFont="1" applyFill="1" applyBorder="1"/>
    <xf numFmtId="0" fontId="7" fillId="0" borderId="0" xfId="0" applyFont="1" applyFill="1"/>
    <xf numFmtId="3" fontId="0" fillId="0" borderId="13" xfId="0" applyNumberForma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0" fillId="0" borderId="13" xfId="0" applyBorder="1" quotePrefix="1"/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0" fillId="0" borderId="13" xfId="0" applyNumberFormat="1" applyFont="1" applyBorder="1"/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quotePrefix="1">
      <alignment horizontal="centerContinuous"/>
    </xf>
    <xf numFmtId="0" fontId="0" fillId="0" borderId="13" xfId="0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0" fontId="0" fillId="0" borderId="13" xfId="121" applyNumberFormat="1" applyFont="1" applyFill="1" applyBorder="1" applyAlignment="1" applyProtection="1">
      <alignment/>
      <protection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 quotePrefix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0" fillId="0" borderId="13" xfId="53" applyBorder="1" applyAlignment="1" quotePrefix="1">
      <alignment horizontal="right"/>
      <protection/>
    </xf>
    <xf numFmtId="3" fontId="0" fillId="0" borderId="13" xfId="53" applyNumberFormat="1" applyBorder="1" applyAlignment="1">
      <alignment horizontal="right"/>
      <protection/>
    </xf>
    <xf numFmtId="49" fontId="0" fillId="0" borderId="13" xfId="0" applyNumberFormat="1" applyBorder="1"/>
    <xf numFmtId="0" fontId="3" fillId="34" borderId="13" xfId="0" applyFont="1" applyFill="1" applyBorder="1" applyAlignment="1" quotePrefix="1">
      <alignment wrapText="1"/>
    </xf>
    <xf numFmtId="49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quotePrefix="1">
      <alignment wrapText="1"/>
    </xf>
    <xf numFmtId="0" fontId="8" fillId="0" borderId="13" xfId="0" applyFont="1" applyBorder="1"/>
    <xf numFmtId="0" fontId="0" fillId="0" borderId="13" xfId="0" applyFont="1" applyBorder="1" applyAlignment="1">
      <alignment vertical="top" wrapText="1"/>
    </xf>
    <xf numFmtId="165" fontId="0" fillId="0" borderId="13" xfId="0" applyNumberFormat="1" applyFont="1" applyBorder="1" applyAlignment="1" quotePrefix="1">
      <alignment horizontal="right" vertical="top"/>
    </xf>
    <xf numFmtId="3" fontId="0" fillId="0" borderId="13" xfId="0" applyNumberFormat="1" applyFont="1" applyBorder="1" applyAlignment="1">
      <alignment vertical="top"/>
    </xf>
    <xf numFmtId="3" fontId="0" fillId="0" borderId="13" xfId="0" applyNumberFormat="1" applyBorder="1" applyAlignment="1">
      <alignment horizontal="center" vertical="top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/>
    <xf numFmtId="0" fontId="0" fillId="0" borderId="13" xfId="0" applyFont="1" applyFill="1" applyBorder="1"/>
    <xf numFmtId="0" fontId="0" fillId="0" borderId="0" xfId="0" applyFill="1"/>
    <xf numFmtId="0" fontId="0" fillId="0" borderId="13" xfId="0" applyFill="1" applyBorder="1"/>
    <xf numFmtId="3" fontId="0" fillId="0" borderId="13" xfId="0" applyNumberFormat="1" applyFill="1" applyBorder="1"/>
    <xf numFmtId="3" fontId="0" fillId="0" borderId="13" xfId="0" applyNumberFormat="1" applyFill="1" applyBorder="1" applyAlignment="1">
      <alignment horizontal="center"/>
    </xf>
    <xf numFmtId="0" fontId="0" fillId="0" borderId="14" xfId="192" applyNumberFormat="1" applyFont="1" applyFill="1" applyBorder="1" applyAlignment="1" applyProtection="1">
      <alignment/>
      <protection/>
    </xf>
    <xf numFmtId="0" fontId="0" fillId="0" borderId="13" xfId="588" applyBorder="1">
      <alignment/>
      <protection/>
    </xf>
    <xf numFmtId="0" fontId="0" fillId="0" borderId="15" xfId="0" applyBorder="1"/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Border="1"/>
    <xf numFmtId="0" fontId="3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0" xfId="0" applyFont="1" applyFill="1" applyBorder="1"/>
    <xf numFmtId="3" fontId="0" fillId="0" borderId="0" xfId="0" applyNumberFormat="1"/>
    <xf numFmtId="0" fontId="0" fillId="0" borderId="0" xfId="0"/>
    <xf numFmtId="3" fontId="0" fillId="0" borderId="21" xfId="0" applyNumberFormat="1" applyBorder="1"/>
    <xf numFmtId="3" fontId="3" fillId="35" borderId="22" xfId="0" applyNumberFormat="1" applyFont="1" applyFill="1" applyBorder="1"/>
    <xf numFmtId="3" fontId="3" fillId="35" borderId="23" xfId="0" applyNumberFormat="1" applyFont="1" applyFill="1" applyBorder="1"/>
    <xf numFmtId="3" fontId="0" fillId="36" borderId="13" xfId="0" applyNumberFormat="1" applyFont="1" applyFill="1" applyBorder="1"/>
    <xf numFmtId="3" fontId="0" fillId="36" borderId="13" xfId="53" applyNumberFormat="1" applyFill="1" applyBorder="1">
      <alignment/>
      <protection/>
    </xf>
    <xf numFmtId="3" fontId="27" fillId="36" borderId="13" xfId="53" applyNumberFormat="1" applyFont="1" applyFill="1" applyBorder="1">
      <alignment/>
      <protection/>
    </xf>
    <xf numFmtId="3" fontId="28" fillId="36" borderId="13" xfId="53" applyNumberFormat="1" applyFont="1" applyFill="1" applyBorder="1">
      <alignment/>
      <protection/>
    </xf>
    <xf numFmtId="3" fontId="0" fillId="36" borderId="13" xfId="0" applyNumberFormat="1" applyFill="1" applyBorder="1"/>
    <xf numFmtId="3" fontId="3" fillId="36" borderId="13" xfId="0" applyNumberFormat="1" applyFont="1" applyFill="1" applyBorder="1"/>
    <xf numFmtId="3" fontId="0" fillId="36" borderId="24" xfId="0" applyNumberFormat="1" applyFill="1" applyBorder="1" applyAlignment="1">
      <alignment horizontal="right"/>
    </xf>
    <xf numFmtId="3" fontId="0" fillId="36" borderId="24" xfId="0" applyNumberFormat="1" applyFill="1" applyBorder="1" applyAlignment="1">
      <alignment horizontal="center"/>
    </xf>
    <xf numFmtId="3" fontId="3" fillId="36" borderId="25" xfId="0" applyNumberFormat="1" applyFont="1" applyFill="1" applyBorder="1" applyAlignment="1">
      <alignment horizontal="right"/>
    </xf>
    <xf numFmtId="3" fontId="0" fillId="36" borderId="13" xfId="0" applyNumberFormat="1" applyFont="1" applyFill="1" applyBorder="1"/>
    <xf numFmtId="3" fontId="0" fillId="36" borderId="13" xfId="0" applyNumberFormat="1" applyFont="1" applyFill="1" applyBorder="1" applyAlignment="1" applyProtection="1">
      <alignment/>
      <protection/>
    </xf>
    <xf numFmtId="3" fontId="3" fillId="36" borderId="13" xfId="0" applyNumberFormat="1" applyFont="1" applyFill="1" applyBorder="1" applyAlignment="1" applyProtection="1">
      <alignment/>
      <protection/>
    </xf>
    <xf numFmtId="0" fontId="0" fillId="36" borderId="13" xfId="0" applyFill="1" applyBorder="1"/>
    <xf numFmtId="3" fontId="3" fillId="36" borderId="13" xfId="0" applyNumberFormat="1" applyFont="1" applyFill="1" applyBorder="1" applyAlignment="1">
      <alignment horizontal="right"/>
    </xf>
    <xf numFmtId="3" fontId="0" fillId="36" borderId="13" xfId="88" applyNumberFormat="1" applyFont="1" applyFill="1" applyBorder="1" applyAlignment="1" applyProtection="1">
      <alignment/>
      <protection/>
    </xf>
    <xf numFmtId="3" fontId="3" fillId="36" borderId="13" xfId="53" applyNumberFormat="1" applyFont="1" applyFill="1" applyBorder="1">
      <alignment/>
      <protection/>
    </xf>
    <xf numFmtId="3" fontId="0" fillId="36" borderId="13" xfId="0" applyNumberFormat="1" applyFont="1" applyFill="1" applyBorder="1" applyAlignment="1">
      <alignment vertical="top"/>
    </xf>
    <xf numFmtId="3" fontId="3" fillId="36" borderId="13" xfId="0" applyNumberFormat="1" applyFont="1" applyFill="1" applyBorder="1" applyAlignment="1">
      <alignment vertical="top"/>
    </xf>
    <xf numFmtId="0" fontId="0" fillId="0" borderId="13" xfId="0" applyFont="1" applyBorder="1"/>
    <xf numFmtId="3" fontId="0" fillId="0" borderId="13" xfId="0" applyNumberFormat="1" applyFont="1" applyBorder="1" applyAlignment="1">
      <alignment horizontal="center" wrapText="1"/>
    </xf>
    <xf numFmtId="0" fontId="0" fillId="0" borderId="13" xfId="0" applyFont="1" applyBorder="1" quotePrefix="1"/>
    <xf numFmtId="0" fontId="0" fillId="0" borderId="13" xfId="0" applyFont="1" applyBorder="1" applyAlignment="1" quotePrefix="1">
      <alignment horizontal="right"/>
    </xf>
    <xf numFmtId="3" fontId="0" fillId="0" borderId="13" xfId="53" applyNumberFormat="1" applyFont="1" applyBorder="1" applyAlignment="1">
      <alignment horizontal="center"/>
      <protection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0" fillId="0" borderId="13" xfId="121" applyNumberFormat="1" applyFont="1" applyFill="1" applyBorder="1" applyAlignment="1" applyProtection="1" quotePrefix="1">
      <alignment/>
      <protection/>
    </xf>
    <xf numFmtId="3" fontId="0" fillId="0" borderId="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36" borderId="13" xfId="0" applyNumberFormat="1" applyFont="1" applyFill="1" applyBorder="1"/>
    <xf numFmtId="3" fontId="0" fillId="36" borderId="0" xfId="0" applyNumberFormat="1" applyFont="1" applyFill="1" applyBorder="1"/>
    <xf numFmtId="0" fontId="0" fillId="0" borderId="13" xfId="0" applyBorder="1" applyAlignment="1" quotePrefix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53" applyFont="1" applyBorder="1">
      <alignment/>
      <protection/>
    </xf>
    <xf numFmtId="3" fontId="0" fillId="36" borderId="13" xfId="53" applyNumberFormat="1" applyFont="1" applyFill="1" applyBorder="1">
      <alignment/>
      <protection/>
    </xf>
    <xf numFmtId="0" fontId="0" fillId="0" borderId="0" xfId="0" applyFont="1" applyBorder="1"/>
    <xf numFmtId="0" fontId="0" fillId="0" borderId="13" xfId="589" applyFont="1" applyBorder="1">
      <alignment/>
      <protection/>
    </xf>
    <xf numFmtId="3" fontId="0" fillId="0" borderId="13" xfId="589" applyNumberFormat="1" applyFont="1" applyBorder="1">
      <alignment/>
      <protection/>
    </xf>
    <xf numFmtId="3" fontId="0" fillId="0" borderId="13" xfId="1279" applyNumberFormat="1" applyFont="1" applyBorder="1" applyAlignment="1">
      <alignment vertical="top"/>
      <protection/>
    </xf>
    <xf numFmtId="0" fontId="0" fillId="0" borderId="13" xfId="192" applyFont="1" applyBorder="1" applyAlignment="1">
      <alignment/>
      <protection/>
    </xf>
    <xf numFmtId="0" fontId="0" fillId="0" borderId="13" xfId="88" applyNumberFormat="1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3" xfId="88" applyNumberFormat="1" applyFont="1" applyFill="1" applyBorder="1" applyAlignment="1" applyProtection="1">
      <alignment wrapText="1"/>
      <protection/>
    </xf>
    <xf numFmtId="0" fontId="0" fillId="0" borderId="13" xfId="1279" applyBorder="1" applyAlignment="1" quotePrefix="1">
      <alignment horizontal="left"/>
      <protection/>
    </xf>
    <xf numFmtId="49" fontId="0" fillId="0" borderId="13" xfId="88" applyNumberFormat="1" applyFont="1" applyFill="1" applyBorder="1" applyAlignment="1" applyProtection="1" quotePrefix="1">
      <alignment/>
      <protection locked="0"/>
    </xf>
    <xf numFmtId="49" fontId="0" fillId="0" borderId="13" xfId="88" applyNumberFormat="1" applyFont="1" applyFill="1" applyBorder="1" applyAlignment="1" applyProtection="1">
      <alignment/>
      <protection locked="0"/>
    </xf>
    <xf numFmtId="3" fontId="0" fillId="0" borderId="13" xfId="0" applyNumberFormat="1" applyFont="1" applyBorder="1"/>
    <xf numFmtId="3" fontId="0" fillId="0" borderId="13" xfId="88" applyNumberFormat="1" applyFont="1" applyFill="1" applyBorder="1" applyAlignment="1" applyProtection="1">
      <alignment/>
      <protection/>
    </xf>
    <xf numFmtId="3" fontId="0" fillId="0" borderId="13" xfId="1279" applyNumberFormat="1" applyBorder="1">
      <alignment/>
      <protection/>
    </xf>
    <xf numFmtId="3" fontId="0" fillId="0" borderId="13" xfId="1279" applyNumberFormat="1" applyBorder="1" applyAlignment="1">
      <alignment horizontal="center"/>
      <protection/>
    </xf>
    <xf numFmtId="0" fontId="0" fillId="0" borderId="13" xfId="1279" applyFont="1" applyBorder="1">
      <alignment/>
      <protection/>
    </xf>
    <xf numFmtId="3" fontId="0" fillId="0" borderId="13" xfId="1279" applyNumberFormat="1" applyFont="1" applyBorder="1">
      <alignment/>
      <protection/>
    </xf>
    <xf numFmtId="0" fontId="0" fillId="0" borderId="13" xfId="1280" applyNumberFormat="1" applyFont="1" applyFill="1" applyBorder="1" applyAlignment="1" applyProtection="1">
      <alignment/>
      <protection/>
    </xf>
    <xf numFmtId="3" fontId="0" fillId="0" borderId="13" xfId="1280" applyNumberFormat="1" applyFont="1" applyFill="1" applyBorder="1" applyAlignment="1" applyProtection="1">
      <alignment horizontal="center"/>
      <protection/>
    </xf>
    <xf numFmtId="0" fontId="0" fillId="0" borderId="13" xfId="1280" applyNumberFormat="1" applyFont="1" applyFill="1" applyBorder="1" applyAlignment="1" applyProtection="1">
      <alignment wrapText="1"/>
      <protection/>
    </xf>
    <xf numFmtId="3" fontId="0" fillId="37" borderId="13" xfId="1280" applyNumberFormat="1" applyFont="1" applyFill="1" applyBorder="1" applyAlignment="1" applyProtection="1">
      <alignment horizontal="center"/>
      <protection/>
    </xf>
    <xf numFmtId="0" fontId="3" fillId="0" borderId="13" xfId="1280" applyNumberFormat="1" applyFont="1" applyFill="1" applyBorder="1" applyAlignment="1" applyProtection="1">
      <alignment horizontal="left"/>
      <protection/>
    </xf>
    <xf numFmtId="0" fontId="3" fillId="0" borderId="13" xfId="1280" applyNumberFormat="1" applyFont="1" applyFill="1" applyBorder="1" applyAlignment="1" applyProtection="1">
      <alignment wrapText="1"/>
      <protection/>
    </xf>
    <xf numFmtId="0" fontId="3" fillId="0" borderId="13" xfId="1280" applyNumberFormat="1" applyFont="1" applyFill="1" applyBorder="1" applyAlignment="1" applyProtection="1">
      <alignment/>
      <protection/>
    </xf>
    <xf numFmtId="3" fontId="27" fillId="36" borderId="13" xfId="128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6" xfId="0" applyFill="1" applyBorder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5" fillId="0" borderId="0" xfId="0" applyFont="1"/>
    <xf numFmtId="0" fontId="3" fillId="33" borderId="16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right" wrapText="1"/>
    </xf>
    <xf numFmtId="0" fontId="0" fillId="0" borderId="20" xfId="0" applyBorder="1"/>
    <xf numFmtId="0" fontId="0" fillId="0" borderId="17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9" xfId="0" applyNumberFormat="1" applyBorder="1" applyAlignment="1">
      <alignment horizontal="center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 applyAlignment="1">
      <alignment horizontal="center"/>
    </xf>
    <xf numFmtId="0" fontId="0" fillId="0" borderId="33" xfId="0" applyBorder="1"/>
    <xf numFmtId="0" fontId="0" fillId="0" borderId="24" xfId="0" applyFont="1" applyBorder="1"/>
    <xf numFmtId="3" fontId="0" fillId="0" borderId="24" xfId="0" applyNumberFormat="1" applyBorder="1" applyAlignment="1">
      <alignment horizontal="center"/>
    </xf>
    <xf numFmtId="3" fontId="0" fillId="0" borderId="24" xfId="0" applyNumberFormat="1" applyBorder="1"/>
    <xf numFmtId="3" fontId="0" fillId="0" borderId="34" xfId="0" applyNumberFormat="1" applyBorder="1"/>
    <xf numFmtId="3" fontId="0" fillId="0" borderId="35" xfId="0" applyNumberFormat="1" applyBorder="1" applyAlignment="1">
      <alignment horizontal="center"/>
    </xf>
    <xf numFmtId="0" fontId="0" fillId="0" borderId="24" xfId="0" applyBorder="1"/>
    <xf numFmtId="3" fontId="0" fillId="0" borderId="35" xfId="0" applyNumberFormat="1" applyBorder="1" applyAlignment="1">
      <alignment horizontal="center" wrapText="1"/>
    </xf>
    <xf numFmtId="3" fontId="0" fillId="0" borderId="34" xfId="0" applyNumberFormat="1" applyFill="1" applyBorder="1"/>
    <xf numFmtId="0" fontId="0" fillId="0" borderId="33" xfId="0" applyFont="1" applyBorder="1"/>
    <xf numFmtId="0" fontId="0" fillId="0" borderId="24" xfId="0" applyFont="1" applyBorder="1"/>
    <xf numFmtId="3" fontId="0" fillId="0" borderId="24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24" xfId="0" applyNumberFormat="1" applyFill="1" applyBorder="1"/>
    <xf numFmtId="3" fontId="0" fillId="0" borderId="36" xfId="0" applyNumberFormat="1" applyBorder="1" applyAlignment="1">
      <alignment horizontal="center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0" fillId="0" borderId="38" xfId="0" applyFill="1" applyBorder="1"/>
    <xf numFmtId="0" fontId="0" fillId="0" borderId="33" xfId="0" applyBorder="1" applyAlignment="1">
      <alignment vertical="center"/>
    </xf>
    <xf numFmtId="3" fontId="0" fillId="0" borderId="37" xfId="0" applyNumberFormat="1" applyFont="1" applyBorder="1" applyAlignment="1">
      <alignment horizontal="center"/>
    </xf>
    <xf numFmtId="0" fontId="3" fillId="0" borderId="39" xfId="0" applyFont="1" applyBorder="1"/>
    <xf numFmtId="0" fontId="3" fillId="0" borderId="25" xfId="0" applyFont="1" applyBorder="1"/>
    <xf numFmtId="3" fontId="0" fillId="0" borderId="25" xfId="0" applyNumberFormat="1" applyBorder="1" applyAlignment="1">
      <alignment horizontal="center"/>
    </xf>
    <xf numFmtId="3" fontId="3" fillId="0" borderId="25" xfId="0" applyNumberFormat="1" applyFont="1" applyBorder="1"/>
    <xf numFmtId="3" fontId="3" fillId="0" borderId="22" xfId="0" applyNumberFormat="1" applyFont="1" applyBorder="1"/>
    <xf numFmtId="0" fontId="0" fillId="0" borderId="28" xfId="0" applyFont="1" applyBorder="1" applyAlignment="1">
      <alignment wrapText="1"/>
    </xf>
    <xf numFmtId="3" fontId="0" fillId="0" borderId="29" xfId="0" applyNumberFormat="1" applyFont="1" applyBorder="1" applyAlignment="1">
      <alignment horizontal="center"/>
    </xf>
    <xf numFmtId="3" fontId="0" fillId="0" borderId="29" xfId="0" applyNumberFormat="1" applyFont="1" applyFill="1" applyBorder="1"/>
    <xf numFmtId="3" fontId="0" fillId="0" borderId="30" xfId="0" applyNumberFormat="1" applyFont="1" applyFill="1" applyBorder="1"/>
    <xf numFmtId="0" fontId="0" fillId="0" borderId="40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7" xfId="0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0" fontId="0" fillId="0" borderId="33" xfId="0" applyFont="1" applyBorder="1" applyAlignment="1">
      <alignment wrapText="1"/>
    </xf>
    <xf numFmtId="3" fontId="0" fillId="0" borderId="24" xfId="0" applyNumberFormat="1" applyFont="1" applyFill="1" applyBorder="1"/>
    <xf numFmtId="3" fontId="0" fillId="0" borderId="34" xfId="0" applyNumberFormat="1" applyFont="1" applyFill="1" applyBorder="1"/>
    <xf numFmtId="0" fontId="0" fillId="35" borderId="41" xfId="0" applyFont="1" applyFill="1" applyBorder="1" applyAlignment="1">
      <alignment wrapText="1"/>
    </xf>
    <xf numFmtId="3" fontId="0" fillId="36" borderId="31" xfId="0" applyNumberFormat="1" applyFill="1" applyBorder="1"/>
    <xf numFmtId="3" fontId="0" fillId="36" borderId="21" xfId="0" applyNumberFormat="1" applyFill="1" applyBorder="1"/>
    <xf numFmtId="3" fontId="3" fillId="36" borderId="23" xfId="0" applyNumberFormat="1" applyFont="1" applyFill="1" applyBorder="1"/>
    <xf numFmtId="3" fontId="0" fillId="36" borderId="29" xfId="0" applyNumberFormat="1" applyFill="1" applyBorder="1" applyAlignment="1">
      <alignment horizontal="center"/>
    </xf>
    <xf numFmtId="0" fontId="1" fillId="0" borderId="0" xfId="88">
      <alignment/>
      <protection/>
    </xf>
    <xf numFmtId="0" fontId="31" fillId="0" borderId="0" xfId="88" applyFont="1">
      <alignment/>
      <protection/>
    </xf>
    <xf numFmtId="0" fontId="30" fillId="8" borderId="42" xfId="88" applyNumberFormat="1" applyFont="1" applyFill="1" applyBorder="1" applyAlignment="1" applyProtection="1">
      <alignment/>
      <protection/>
    </xf>
    <xf numFmtId="0" fontId="30" fillId="8" borderId="43" xfId="88" applyNumberFormat="1" applyFont="1" applyFill="1" applyBorder="1" applyAlignment="1" applyProtection="1">
      <alignment horizontal="center"/>
      <protection/>
    </xf>
    <xf numFmtId="0" fontId="30" fillId="8" borderId="42" xfId="88" applyNumberFormat="1" applyFont="1" applyFill="1" applyBorder="1" applyAlignment="1" applyProtection="1">
      <alignment horizontal="center"/>
      <protection/>
    </xf>
    <xf numFmtId="0" fontId="30" fillId="8" borderId="27" xfId="88" applyNumberFormat="1" applyFont="1" applyFill="1" applyBorder="1" applyAlignment="1" applyProtection="1">
      <alignment/>
      <protection/>
    </xf>
    <xf numFmtId="0" fontId="30" fillId="8" borderId="44" xfId="88" applyNumberFormat="1" applyFont="1" applyFill="1" applyBorder="1" applyAlignment="1" applyProtection="1">
      <alignment horizontal="center"/>
      <protection/>
    </xf>
    <xf numFmtId="0" fontId="30" fillId="8" borderId="27" xfId="88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Protection="1">
      <protection locked="0"/>
    </xf>
    <xf numFmtId="3" fontId="0" fillId="0" borderId="0" xfId="0" applyNumberFormat="1" applyFont="1"/>
    <xf numFmtId="3" fontId="0" fillId="0" borderId="14" xfId="0" applyNumberFormat="1" applyFont="1" applyBorder="1"/>
    <xf numFmtId="3" fontId="32" fillId="0" borderId="14" xfId="0" applyNumberFormat="1" applyFont="1" applyBorder="1"/>
    <xf numFmtId="49" fontId="0" fillId="0" borderId="45" xfId="0" applyNumberFormat="1" applyFont="1" applyFill="1" applyBorder="1" applyAlignment="1" applyProtection="1" quotePrefix="1">
      <alignment/>
      <protection locked="0"/>
    </xf>
    <xf numFmtId="0" fontId="0" fillId="0" borderId="14" xfId="0" applyNumberFormat="1" applyFont="1" applyFill="1" applyBorder="1" applyAlignment="1" applyProtection="1">
      <alignment wrapText="1"/>
      <protection/>
    </xf>
    <xf numFmtId="0" fontId="3" fillId="8" borderId="42" xfId="88" applyNumberFormat="1" applyFont="1" applyFill="1" applyBorder="1" applyAlignment="1" applyProtection="1">
      <alignment/>
      <protection/>
    </xf>
    <xf numFmtId="166" fontId="3" fillId="8" borderId="42" xfId="1281" applyNumberFormat="1" applyFont="1" applyFill="1" applyBorder="1" applyAlignment="1" applyProtection="1">
      <alignment horizontal="center"/>
      <protection/>
    </xf>
    <xf numFmtId="0" fontId="30" fillId="0" borderId="45" xfId="88" applyNumberFormat="1" applyFont="1" applyFill="1" applyBorder="1" applyAlignment="1" applyProtection="1">
      <alignment horizontal="left"/>
      <protection/>
    </xf>
    <xf numFmtId="0" fontId="30" fillId="0" borderId="46" xfId="88" applyNumberFormat="1" applyFont="1" applyFill="1" applyBorder="1" applyAlignment="1" applyProtection="1">
      <alignment horizontal="left"/>
      <protection/>
    </xf>
    <xf numFmtId="3" fontId="30" fillId="0" borderId="0" xfId="88" applyNumberFormat="1" applyFont="1" applyFill="1" applyBorder="1" applyAlignment="1" applyProtection="1">
      <alignment wrapText="1"/>
      <protection/>
    </xf>
    <xf numFmtId="3" fontId="30" fillId="0" borderId="14" xfId="88" applyNumberFormat="1" applyFont="1" applyFill="1" applyBorder="1" applyAlignment="1" applyProtection="1">
      <alignment wrapText="1"/>
      <protection/>
    </xf>
    <xf numFmtId="0" fontId="30" fillId="0" borderId="44" xfId="88" applyNumberFormat="1" applyFont="1" applyFill="1" applyBorder="1" applyAlignment="1" applyProtection="1">
      <alignment wrapText="1"/>
      <protection/>
    </xf>
    <xf numFmtId="0" fontId="30" fillId="0" borderId="27" xfId="88" applyNumberFormat="1" applyFont="1" applyFill="1" applyBorder="1" applyAlignment="1" applyProtection="1">
      <alignment wrapText="1"/>
      <protection/>
    </xf>
    <xf numFmtId="0" fontId="32" fillId="0" borderId="14" xfId="0" applyFont="1" applyBorder="1"/>
    <xf numFmtId="0" fontId="32" fillId="0" borderId="14" xfId="0" applyFont="1" applyBorder="1" applyAlignment="1">
      <alignment wrapText="1"/>
    </xf>
    <xf numFmtId="0" fontId="32" fillId="0" borderId="14" xfId="0" applyFont="1" applyBorder="1" applyAlignment="1">
      <alignment horizontal="left" wrapText="1"/>
    </xf>
    <xf numFmtId="0" fontId="3" fillId="8" borderId="42" xfId="88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/>
    <xf numFmtId="3" fontId="0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3" fontId="0" fillId="0" borderId="13" xfId="1279" applyNumberFormat="1" applyFont="1" applyBorder="1" applyAlignment="1">
      <alignment horizontal="center"/>
      <protection/>
    </xf>
    <xf numFmtId="3" fontId="0" fillId="0" borderId="13" xfId="53" applyNumberFormat="1" applyFont="1" applyBorder="1" applyAlignment="1">
      <alignment horizontal="right"/>
      <protection/>
    </xf>
    <xf numFmtId="3" fontId="0" fillId="0" borderId="13" xfId="53" applyNumberFormat="1" applyFont="1" applyFill="1" applyBorder="1" applyAlignment="1">
      <alignment horizontal="left"/>
      <protection/>
    </xf>
    <xf numFmtId="3" fontId="3" fillId="0" borderId="13" xfId="53" applyNumberFormat="1" applyFont="1" applyBorder="1" applyAlignment="1">
      <alignment horizontal="right"/>
      <protection/>
    </xf>
    <xf numFmtId="0" fontId="4" fillId="33" borderId="4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53" applyBorder="1" applyAlignment="1">
      <alignment/>
      <protection/>
    </xf>
    <xf numFmtId="0" fontId="0" fillId="0" borderId="13" xfId="0" applyFont="1" applyBorder="1" applyAlignment="1">
      <alignment/>
    </xf>
    <xf numFmtId="3" fontId="0" fillId="0" borderId="13" xfId="53" applyNumberForma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3" xfId="589" applyFont="1" applyBorder="1" applyAlignment="1">
      <alignment/>
      <protection/>
    </xf>
    <xf numFmtId="0" fontId="3" fillId="0" borderId="13" xfId="53" applyFont="1" applyBorder="1" applyAlignment="1">
      <alignment/>
      <protection/>
    </xf>
    <xf numFmtId="3" fontId="0" fillId="38" borderId="13" xfId="0" applyNumberFormat="1" applyFont="1" applyFill="1" applyBorder="1"/>
    <xf numFmtId="0" fontId="4" fillId="33" borderId="48" xfId="1280" applyFont="1" applyFill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0" xfId="1280" applyFont="1">
      <alignment/>
      <protection/>
    </xf>
    <xf numFmtId="0" fontId="0" fillId="0" borderId="0" xfId="1280">
      <alignment/>
      <protection/>
    </xf>
    <xf numFmtId="0" fontId="0" fillId="0" borderId="0" xfId="1280" applyAlignment="1">
      <alignment horizontal="right"/>
      <protection/>
    </xf>
    <xf numFmtId="0" fontId="3" fillId="33" borderId="0" xfId="1280" applyFont="1" applyFill="1" applyAlignment="1">
      <alignment vertical="center"/>
      <protection/>
    </xf>
    <xf numFmtId="0" fontId="3" fillId="33" borderId="0" xfId="1280" applyFont="1" applyFill="1" applyAlignment="1">
      <alignment horizontal="center" wrapText="1"/>
      <protection/>
    </xf>
    <xf numFmtId="0" fontId="0" fillId="0" borderId="13" xfId="1280" applyBorder="1">
      <alignment/>
      <protection/>
    </xf>
    <xf numFmtId="0" fontId="3" fillId="34" borderId="13" xfId="1280" applyFont="1" applyFill="1" applyBorder="1" applyAlignment="1" quotePrefix="1">
      <alignment horizontal="right" wrapText="1"/>
      <protection/>
    </xf>
    <xf numFmtId="0" fontId="0" fillId="0" borderId="13" xfId="1280" applyBorder="1" applyAlignment="1">
      <alignment horizontal="center"/>
      <protection/>
    </xf>
    <xf numFmtId="0" fontId="0" fillId="0" borderId="13" xfId="1280" applyNumberFormat="1" applyFont="1" applyFill="1" applyBorder="1" applyAlignment="1" applyProtection="1">
      <alignment horizontal="center"/>
      <protection/>
    </xf>
    <xf numFmtId="3" fontId="0" fillId="0" borderId="13" xfId="1280" applyNumberFormat="1" applyFont="1" applyFill="1" applyBorder="1" applyAlignment="1" applyProtection="1">
      <alignment/>
      <protection/>
    </xf>
    <xf numFmtId="3" fontId="3" fillId="0" borderId="13" xfId="1280" applyNumberFormat="1" applyFont="1" applyFill="1" applyBorder="1" applyAlignment="1" applyProtection="1">
      <alignment/>
      <protection/>
    </xf>
    <xf numFmtId="3" fontId="28" fillId="36" borderId="13" xfId="1280" applyNumberFormat="1" applyFont="1" applyFill="1" applyBorder="1" applyAlignment="1" applyProtection="1">
      <alignment/>
      <protection/>
    </xf>
    <xf numFmtId="3" fontId="3" fillId="0" borderId="13" xfId="1280" applyNumberFormat="1" applyFont="1" applyFill="1" applyBorder="1" applyAlignment="1" applyProtection="1">
      <alignment horizontal="center"/>
      <protection/>
    </xf>
    <xf numFmtId="0" fontId="25" fillId="0" borderId="13" xfId="1280" applyNumberFormat="1" applyFont="1" applyFill="1" applyBorder="1" applyAlignment="1" applyProtection="1">
      <alignment/>
      <protection/>
    </xf>
    <xf numFmtId="0" fontId="25" fillId="0" borderId="13" xfId="1280" applyNumberFormat="1" applyFont="1" applyFill="1" applyBorder="1" applyAlignment="1" applyProtection="1">
      <alignment wrapText="1"/>
      <protection/>
    </xf>
    <xf numFmtId="3" fontId="3" fillId="37" borderId="13" xfId="1280" applyNumberFormat="1" applyFont="1" applyFill="1" applyBorder="1" applyAlignment="1" applyProtection="1">
      <alignment horizontal="center"/>
      <protection/>
    </xf>
    <xf numFmtId="0" fontId="33" fillId="0" borderId="13" xfId="1280" applyNumberFormat="1" applyFont="1" applyFill="1" applyBorder="1" applyAlignment="1" applyProtection="1">
      <alignment horizontal="left"/>
      <protection/>
    </xf>
    <xf numFmtId="0" fontId="0" fillId="0" borderId="13" xfId="1280" applyNumberFormat="1" applyFont="1" applyFill="1" applyBorder="1" applyAlignment="1" applyProtection="1" quotePrefix="1">
      <alignment wrapText="1"/>
      <protection/>
    </xf>
    <xf numFmtId="0" fontId="25" fillId="0" borderId="13" xfId="1280" applyNumberFormat="1" applyFont="1" applyFill="1" applyBorder="1" applyAlignment="1" applyProtection="1" quotePrefix="1">
      <alignment wrapText="1"/>
      <protection/>
    </xf>
    <xf numFmtId="0" fontId="3" fillId="0" borderId="13" xfId="1280" applyNumberFormat="1" applyFont="1" applyFill="1" applyBorder="1" applyAlignment="1" applyProtection="1" quotePrefix="1">
      <alignment wrapText="1"/>
      <protection/>
    </xf>
    <xf numFmtId="49" fontId="0" fillId="0" borderId="13" xfId="1280" applyNumberFormat="1" applyFont="1" applyFill="1" applyBorder="1" applyAlignment="1" applyProtection="1">
      <alignment horizontal="center"/>
      <protection/>
    </xf>
    <xf numFmtId="49" fontId="3" fillId="0" borderId="13" xfId="1280" applyNumberFormat="1" applyFont="1" applyFill="1" applyBorder="1" applyAlignment="1" applyProtection="1">
      <alignment horizontal="center"/>
      <protection/>
    </xf>
    <xf numFmtId="3" fontId="3" fillId="36" borderId="13" xfId="1280" applyNumberFormat="1" applyFont="1" applyFill="1" applyBorder="1" applyAlignment="1" applyProtection="1">
      <alignment/>
      <protection/>
    </xf>
    <xf numFmtId="0" fontId="0" fillId="0" borderId="13" xfId="1280" applyNumberFormat="1" applyFont="1" applyFill="1" applyBorder="1" applyAlignment="1" applyProtection="1">
      <alignment horizontal="left"/>
      <protection/>
    </xf>
    <xf numFmtId="3" fontId="0" fillId="36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1280" applyFont="1" applyAlignment="1">
      <alignment horizontal="left"/>
      <protection/>
    </xf>
    <xf numFmtId="0" fontId="3" fillId="33" borderId="0" xfId="1280" applyFont="1" applyFill="1" applyAlignment="1">
      <alignment horizontal="left" vertical="center"/>
      <protection/>
    </xf>
    <xf numFmtId="0" fontId="0" fillId="0" borderId="13" xfId="1280" applyBorder="1" applyAlignment="1">
      <alignment horizontal="left"/>
      <protection/>
    </xf>
    <xf numFmtId="0" fontId="0" fillId="0" borderId="13" xfId="1280" applyFill="1" applyBorder="1" applyAlignment="1">
      <alignment horizontal="right"/>
      <protection/>
    </xf>
    <xf numFmtId="0" fontId="0" fillId="0" borderId="13" xfId="1280" applyNumberFormat="1" applyFont="1" applyFill="1" applyBorder="1" applyAlignment="1" applyProtection="1">
      <alignment horizontal="right"/>
      <protection/>
    </xf>
    <xf numFmtId="3" fontId="0" fillId="4" borderId="13" xfId="1280" applyNumberFormat="1" applyFont="1" applyFill="1" applyBorder="1" applyAlignment="1" applyProtection="1">
      <alignment horizontal="right"/>
      <protection/>
    </xf>
    <xf numFmtId="3" fontId="3" fillId="4" borderId="13" xfId="1280" applyNumberFormat="1" applyFont="1" applyFill="1" applyBorder="1" applyAlignment="1" applyProtection="1">
      <alignment horizontal="right"/>
      <protection/>
    </xf>
    <xf numFmtId="0" fontId="0" fillId="0" borderId="0" xfId="0" applyFont="1"/>
    <xf numFmtId="3" fontId="3" fillId="0" borderId="13" xfId="1280" applyNumberFormat="1" applyFont="1" applyFill="1" applyBorder="1" applyAlignment="1" applyProtection="1">
      <alignment horizontal="left"/>
      <protection/>
    </xf>
    <xf numFmtId="3" fontId="0" fillId="34" borderId="13" xfId="0" applyNumberFormat="1" applyFont="1" applyFill="1" applyBorder="1"/>
    <xf numFmtId="0" fontId="0" fillId="0" borderId="0" xfId="0" applyFont="1" applyFill="1" applyBorder="1" applyAlignment="1">
      <alignment horizontal="centerContinuous"/>
    </xf>
    <xf numFmtId="3" fontId="0" fillId="34" borderId="13" xfId="0" applyNumberFormat="1" applyFont="1" applyFill="1" applyBorder="1"/>
    <xf numFmtId="3" fontId="0" fillId="0" borderId="13" xfId="53" applyNumberFormat="1" applyFont="1" applyBorder="1">
      <alignment/>
      <protection/>
    </xf>
    <xf numFmtId="3" fontId="0" fillId="0" borderId="31" xfId="0" applyNumberFormat="1" applyFill="1" applyBorder="1"/>
    <xf numFmtId="3" fontId="0" fillId="0" borderId="21" xfId="0" applyNumberFormat="1" applyFill="1" applyBorder="1"/>
    <xf numFmtId="3" fontId="3" fillId="0" borderId="23" xfId="0" applyNumberFormat="1" applyFont="1" applyFill="1" applyBorder="1"/>
    <xf numFmtId="0" fontId="3" fillId="34" borderId="0" xfId="0" applyFont="1" applyFill="1" applyAlignment="1" quotePrefix="1">
      <alignment horizontal="center" wrapText="1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35" borderId="16" xfId="54" applyFont="1" applyFill="1" applyBorder="1" applyAlignment="1">
      <alignment horizontal="left"/>
      <protection/>
    </xf>
    <xf numFmtId="0" fontId="0" fillId="35" borderId="51" xfId="54" applyFont="1" applyFill="1" applyBorder="1" applyAlignment="1">
      <alignment horizontal="left"/>
      <protection/>
    </xf>
    <xf numFmtId="0" fontId="0" fillId="35" borderId="15" xfId="54" applyFont="1" applyFill="1" applyBorder="1" applyAlignment="1">
      <alignment horizontal="left"/>
      <protection/>
    </xf>
    <xf numFmtId="0" fontId="4" fillId="33" borderId="52" xfId="1280" applyFont="1" applyFill="1" applyBorder="1" applyAlignment="1">
      <alignment horizontal="center"/>
      <protection/>
    </xf>
    <xf numFmtId="0" fontId="4" fillId="33" borderId="53" xfId="1280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0" fillId="0" borderId="20" xfId="88" applyNumberFormat="1" applyFont="1" applyFill="1" applyBorder="1" applyAlignment="1" applyProtection="1">
      <alignment horizontal="center" wrapText="1"/>
      <protection/>
    </xf>
    <xf numFmtId="0" fontId="30" fillId="0" borderId="17" xfId="88" applyNumberFormat="1" applyFont="1" applyFill="1" applyBorder="1" applyAlignment="1" applyProtection="1">
      <alignment horizontal="center" wrapText="1"/>
      <protection/>
    </xf>
  </cellXfs>
  <cellStyles count="12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  <cellStyle name="20 % - Farve1 4" xfId="954"/>
    <cellStyle name="20 % - Farve2 4" xfId="955"/>
    <cellStyle name="20 % - Farve3 4" xfId="956"/>
    <cellStyle name="20 % - Farve4 4" xfId="957"/>
    <cellStyle name="20 % - Farve5 4" xfId="958"/>
    <cellStyle name="20 % - Farve6 4" xfId="959"/>
    <cellStyle name="40 % - Farve1 4" xfId="960"/>
    <cellStyle name="40 % - Farve2 4" xfId="961"/>
    <cellStyle name="40 % - Farve3 4" xfId="962"/>
    <cellStyle name="40 % - Farve4 4" xfId="963"/>
    <cellStyle name="40 % - Farve5 4" xfId="964"/>
    <cellStyle name="40 % - Farve6 4" xfId="965"/>
    <cellStyle name="Bemærk! 2 7" xfId="966"/>
    <cellStyle name="Normal 2 3 8" xfId="967"/>
    <cellStyle name="Normal 3 14" xfId="968"/>
    <cellStyle name="Normal 5 8" xfId="969"/>
    <cellStyle name="Normal 6 7" xfId="970"/>
    <cellStyle name="20 % - Markeringsfarve1 2 6" xfId="971"/>
    <cellStyle name="20 % - Markeringsfarve2 2 6" xfId="972"/>
    <cellStyle name="20 % - Markeringsfarve3 2 6" xfId="973"/>
    <cellStyle name="20 % - Markeringsfarve4 2 6" xfId="974"/>
    <cellStyle name="20 % - Markeringsfarve5 2 6" xfId="975"/>
    <cellStyle name="20 % - Markeringsfarve6 2 6" xfId="976"/>
    <cellStyle name="40 % - Markeringsfarve1 2 6" xfId="977"/>
    <cellStyle name="40 % - Markeringsfarve2 2 6" xfId="978"/>
    <cellStyle name="40 % - Markeringsfarve3 2 6" xfId="979"/>
    <cellStyle name="40 % - Markeringsfarve4 2 6" xfId="980"/>
    <cellStyle name="40 % - Markeringsfarve5 2 6" xfId="981"/>
    <cellStyle name="40 % - Markeringsfarve6 2 6" xfId="982"/>
    <cellStyle name="Bemærk! 2 2 6" xfId="983"/>
    <cellStyle name="Normal 2 3 2 6" xfId="984"/>
    <cellStyle name="Normal 3 2 11" xfId="985"/>
    <cellStyle name="Normal 5 2 6" xfId="986"/>
    <cellStyle name="Normal 6 2 6" xfId="987"/>
    <cellStyle name="Normal 7 6" xfId="988"/>
    <cellStyle name="Normal 8 5" xfId="989"/>
    <cellStyle name="Normal 3 11 3" xfId="990"/>
    <cellStyle name="Normal 4 10 3" xfId="991"/>
    <cellStyle name="Normal 3 2 8 3" xfId="992"/>
    <cellStyle name="Normal 3 3 11" xfId="993"/>
    <cellStyle name="Normal 4 2 9" xfId="994"/>
    <cellStyle name="Normal 3 4 11" xfId="995"/>
    <cellStyle name="Normal 4 3 9" xfId="996"/>
    <cellStyle name="Normal 3 5 9" xfId="997"/>
    <cellStyle name="Normal 4 4 7" xfId="998"/>
    <cellStyle name="Normal 3 2 2 9" xfId="999"/>
    <cellStyle name="Normal 3 3 2 9" xfId="1000"/>
    <cellStyle name="Normal 4 2 2 7" xfId="1001"/>
    <cellStyle name="Normal 3 4 2 7" xfId="1002"/>
    <cellStyle name="Normal 4 3 2 7" xfId="1003"/>
    <cellStyle name="Normal 3 6 6" xfId="1004"/>
    <cellStyle name="Normal 4 5 6" xfId="1005"/>
    <cellStyle name="Normal 3 2 3 8" xfId="1006"/>
    <cellStyle name="Normal 3 3 3 6" xfId="1007"/>
    <cellStyle name="Normal 4 2 3 6" xfId="1008"/>
    <cellStyle name="Normal 3 4 3 6" xfId="1009"/>
    <cellStyle name="Normal 4 3 3 6" xfId="1010"/>
    <cellStyle name="Normal 3 5 2 6" xfId="1011"/>
    <cellStyle name="Normal 4 4 2 6" xfId="1012"/>
    <cellStyle name="Normal 3 2 2 2 6" xfId="1013"/>
    <cellStyle name="Normal 3 3 2 2 6" xfId="1014"/>
    <cellStyle name="Normal 4 2 2 2 6" xfId="1015"/>
    <cellStyle name="Normal 3 4 2 2 6" xfId="1016"/>
    <cellStyle name="Normal 4 3 2 2 6" xfId="1017"/>
    <cellStyle name="Normal 3 7 6" xfId="1018"/>
    <cellStyle name="Normal 4 6 6" xfId="1019"/>
    <cellStyle name="Normal 3 2 4 6" xfId="1020"/>
    <cellStyle name="Normal 3 3 4 6" xfId="1021"/>
    <cellStyle name="Normal 4 2 4 6" xfId="1022"/>
    <cellStyle name="Normal 3 4 4 6" xfId="1023"/>
    <cellStyle name="Normal 4 3 4 6" xfId="1024"/>
    <cellStyle name="Komma 5 3" xfId="1025"/>
    <cellStyle name="Normal 3 8 5" xfId="1026"/>
    <cellStyle name="Normal 4 7 5" xfId="1027"/>
    <cellStyle name="Normal 3 2 5 5" xfId="1028"/>
    <cellStyle name="Normal 3 3 5 5" xfId="1029"/>
    <cellStyle name="Normal 4 2 5 5" xfId="1030"/>
    <cellStyle name="Normal 3 4 5 5" xfId="1031"/>
    <cellStyle name="Normal 4 3 5 5" xfId="1032"/>
    <cellStyle name="Normal 3 5 3 5" xfId="1033"/>
    <cellStyle name="Normal 4 4 3 5" xfId="1034"/>
    <cellStyle name="Normal 3 2 2 3 5" xfId="1035"/>
    <cellStyle name="Normal 3 3 2 3 5" xfId="1036"/>
    <cellStyle name="Normal 4 2 2 3 5" xfId="1037"/>
    <cellStyle name="Normal 3 4 2 3 5" xfId="1038"/>
    <cellStyle name="Normal 4 3 2 3 5" xfId="1039"/>
    <cellStyle name="Normal 3 6 2 5" xfId="1040"/>
    <cellStyle name="Normal 4 5 2 5" xfId="1041"/>
    <cellStyle name="Normal 3 2 3 2 5" xfId="1042"/>
    <cellStyle name="Normal 3 3 3 2 5" xfId="1043"/>
    <cellStyle name="Normal 4 2 3 2 5" xfId="1044"/>
    <cellStyle name="Normal 3 4 3 2 5" xfId="1045"/>
    <cellStyle name="Normal 4 3 3 2 5" xfId="1046"/>
    <cellStyle name="Normal 3 5 2 2 5" xfId="1047"/>
    <cellStyle name="Normal 4 4 2 2 5" xfId="1048"/>
    <cellStyle name="Normal 3 2 2 2 2 5" xfId="1049"/>
    <cellStyle name="Normal 3 3 2 2 2 5" xfId="1050"/>
    <cellStyle name="Normal 4 2 2 2 2 5" xfId="1051"/>
    <cellStyle name="Normal 3 4 2 2 2 5" xfId="1052"/>
    <cellStyle name="Normal 4 3 2 2 2 5" xfId="1053"/>
    <cellStyle name="Normal 3 7 2 5" xfId="1054"/>
    <cellStyle name="Normal 4 6 2 5" xfId="1055"/>
    <cellStyle name="Normal 3 2 4 2 5" xfId="1056"/>
    <cellStyle name="Normal 3 3 4 2 5" xfId="1057"/>
    <cellStyle name="Normal 4 2 4 2 5" xfId="1058"/>
    <cellStyle name="Normal 3 4 4 2 5" xfId="1059"/>
    <cellStyle name="Normal 4 3 4 2 5" xfId="1060"/>
    <cellStyle name="Komma 2 5" xfId="1061"/>
    <cellStyle name="Normal 3 9 4" xfId="1062"/>
    <cellStyle name="Normal 4 8 4" xfId="1063"/>
    <cellStyle name="Normal 3 2 6 4" xfId="1064"/>
    <cellStyle name="Normal 3 3 6 4" xfId="1065"/>
    <cellStyle name="Normal 4 2 6 4" xfId="1066"/>
    <cellStyle name="Normal 3 4 6 4" xfId="1067"/>
    <cellStyle name="Normal 4 3 6 4" xfId="1068"/>
    <cellStyle name="Normal 3 5 4 4" xfId="1069"/>
    <cellStyle name="Normal 4 4 4 4" xfId="1070"/>
    <cellStyle name="Normal 3 2 2 4 4" xfId="1071"/>
    <cellStyle name="Normal 3 3 2 4 4" xfId="1072"/>
    <cellStyle name="Normal 4 2 2 4 4" xfId="1073"/>
    <cellStyle name="Normal 3 4 2 4 4" xfId="1074"/>
    <cellStyle name="Normal 4 3 2 4 4" xfId="1075"/>
    <cellStyle name="Normal 3 6 3 4" xfId="1076"/>
    <cellStyle name="Normal 4 5 3 4" xfId="1077"/>
    <cellStyle name="Normal 3 2 3 3 4" xfId="1078"/>
    <cellStyle name="Normal 3 3 3 3 4" xfId="1079"/>
    <cellStyle name="Normal 4 2 3 3 4" xfId="1080"/>
    <cellStyle name="Normal 3 4 3 3 4" xfId="1081"/>
    <cellStyle name="Normal 4 3 3 3 4" xfId="1082"/>
    <cellStyle name="Normal 3 5 2 3 4" xfId="1083"/>
    <cellStyle name="Normal 4 4 2 3 4" xfId="1084"/>
    <cellStyle name="Normal 3 2 2 2 3 4" xfId="1085"/>
    <cellStyle name="Normal 3 3 2 2 3 4" xfId="1086"/>
    <cellStyle name="Normal 4 2 2 2 3 4" xfId="1087"/>
    <cellStyle name="Normal 3 4 2 2 3 4" xfId="1088"/>
    <cellStyle name="Normal 4 3 2 2 3 4" xfId="1089"/>
    <cellStyle name="Normal 3 7 3 4" xfId="1090"/>
    <cellStyle name="Normal 4 6 3 4" xfId="1091"/>
    <cellStyle name="Normal 3 2 4 3 4" xfId="1092"/>
    <cellStyle name="Normal 3 3 4 3 4" xfId="1093"/>
    <cellStyle name="Normal 4 2 4 3 4" xfId="1094"/>
    <cellStyle name="Normal 3 4 4 3 4" xfId="1095"/>
    <cellStyle name="Normal 4 3 4 3 4" xfId="1096"/>
    <cellStyle name="Komma 3 4" xfId="1097"/>
    <cellStyle name="Normal 3 8 2 4" xfId="1098"/>
    <cellStyle name="Normal 4 7 2 4" xfId="1099"/>
    <cellStyle name="Normal 3 2 5 2 4" xfId="1100"/>
    <cellStyle name="Normal 3 3 5 2 4" xfId="1101"/>
    <cellStyle name="Normal 4 2 5 2 4" xfId="1102"/>
    <cellStyle name="Normal 3 4 5 2 4" xfId="1103"/>
    <cellStyle name="Normal 4 3 5 2 4" xfId="1104"/>
    <cellStyle name="Normal 3 5 3 2 4" xfId="1105"/>
    <cellStyle name="Normal 4 4 3 2 4" xfId="1106"/>
    <cellStyle name="Normal 3 2 2 3 2 4" xfId="1107"/>
    <cellStyle name="Normal 3 3 2 3 2 4" xfId="1108"/>
    <cellStyle name="Normal 4 2 2 3 2 4" xfId="1109"/>
    <cellStyle name="Normal 3 4 2 3 2 4" xfId="1110"/>
    <cellStyle name="Normal 4 3 2 3 2 4" xfId="1111"/>
    <cellStyle name="Normal 3 6 2 2 4" xfId="1112"/>
    <cellStyle name="Normal 4 5 2 2 4" xfId="1113"/>
    <cellStyle name="Normal 3 2 3 2 2 4" xfId="1114"/>
    <cellStyle name="Normal 3 3 3 2 2 4" xfId="1115"/>
    <cellStyle name="Normal 4 2 3 2 2 4" xfId="1116"/>
    <cellStyle name="Normal 3 4 3 2 2 4" xfId="1117"/>
    <cellStyle name="Normal 4 3 3 2 2 4" xfId="1118"/>
    <cellStyle name="Normal 3 5 2 2 2 4" xfId="1119"/>
    <cellStyle name="Normal 4 4 2 2 2 4" xfId="1120"/>
    <cellStyle name="Normal 3 2 2 2 2 2 4" xfId="1121"/>
    <cellStyle name="Normal 3 3 2 2 2 2 4" xfId="1122"/>
    <cellStyle name="Normal 4 2 2 2 2 2 4" xfId="1123"/>
    <cellStyle name="Normal 3 4 2 2 2 2 4" xfId="1124"/>
    <cellStyle name="Normal 4 3 2 2 2 2 4" xfId="1125"/>
    <cellStyle name="Normal 3 7 2 2 4" xfId="1126"/>
    <cellStyle name="Normal 4 6 2 2 4" xfId="1127"/>
    <cellStyle name="Normal 3 2 4 2 2 4" xfId="1128"/>
    <cellStyle name="Normal 3 3 4 2 2 4" xfId="1129"/>
    <cellStyle name="Normal 4 2 4 2 2 4" xfId="1130"/>
    <cellStyle name="Normal 3 4 4 2 2 4" xfId="1131"/>
    <cellStyle name="Normal 4 3 4 2 2 4" xfId="1132"/>
    <cellStyle name="Komma 2 2 4" xfId="1133"/>
    <cellStyle name="Normal 3 10 3" xfId="1134"/>
    <cellStyle name="Normal 4 9 3" xfId="1135"/>
    <cellStyle name="Normal 3 2 7 3" xfId="1136"/>
    <cellStyle name="Normal 3 3 7 3" xfId="1137"/>
    <cellStyle name="Normal 4 2 7 3" xfId="1138"/>
    <cellStyle name="Normal 3 4 7 3" xfId="1139"/>
    <cellStyle name="Normal 4 3 7 3" xfId="1140"/>
    <cellStyle name="Normal 3 5 5 3" xfId="1141"/>
    <cellStyle name="Normal 4 4 5 3" xfId="1142"/>
    <cellStyle name="Normal 3 2 2 5 3" xfId="1143"/>
    <cellStyle name="Normal 3 3 2 5 3" xfId="1144"/>
    <cellStyle name="Normal 4 2 2 5 3" xfId="1145"/>
    <cellStyle name="Normal 3 4 2 5 3" xfId="1146"/>
    <cellStyle name="Normal 4 3 2 5 3" xfId="1147"/>
    <cellStyle name="Normal 3 6 4 3" xfId="1148"/>
    <cellStyle name="Normal 4 5 4 3" xfId="1149"/>
    <cellStyle name="Normal 3 2 3 4 3" xfId="1150"/>
    <cellStyle name="Normal 3 3 3 4 3" xfId="1151"/>
    <cellStyle name="Normal 4 2 3 4 3" xfId="1152"/>
    <cellStyle name="Normal 3 4 3 4 3" xfId="1153"/>
    <cellStyle name="Normal 4 3 3 4 3" xfId="1154"/>
    <cellStyle name="Normal 3 5 2 4 3" xfId="1155"/>
    <cellStyle name="Normal 4 4 2 4 3" xfId="1156"/>
    <cellStyle name="Normal 3 2 2 2 4 3" xfId="1157"/>
    <cellStyle name="Normal 3 3 2 2 4 3" xfId="1158"/>
    <cellStyle name="Normal 4 2 2 2 4 3" xfId="1159"/>
    <cellStyle name="Normal 3 4 2 2 4 3" xfId="1160"/>
    <cellStyle name="Normal 4 3 2 2 4 3" xfId="1161"/>
    <cellStyle name="Normal 3 7 4 3" xfId="1162"/>
    <cellStyle name="Normal 4 6 4 3" xfId="1163"/>
    <cellStyle name="Normal 3 2 4 4 3" xfId="1164"/>
    <cellStyle name="Normal 3 3 4 4 3" xfId="1165"/>
    <cellStyle name="Normal 4 2 4 4 3" xfId="1166"/>
    <cellStyle name="Normal 3 4 4 4 3" xfId="1167"/>
    <cellStyle name="Normal 4 3 4 4 3" xfId="1168"/>
    <cellStyle name="Komma 4 3" xfId="1169"/>
    <cellStyle name="Normal 3 8 3 3" xfId="1170"/>
    <cellStyle name="Normal 4 7 3 3" xfId="1171"/>
    <cellStyle name="Normal 3 2 5 3 3" xfId="1172"/>
    <cellStyle name="Normal 3 3 5 3 3" xfId="1173"/>
    <cellStyle name="Normal 4 2 5 3 3" xfId="1174"/>
    <cellStyle name="Normal 3 4 5 3 3" xfId="1175"/>
    <cellStyle name="Normal 4 3 5 3 3" xfId="1176"/>
    <cellStyle name="Normal 3 5 3 3 3" xfId="1177"/>
    <cellStyle name="Normal 4 4 3 3 3" xfId="1178"/>
    <cellStyle name="Normal 3 2 2 3 3 3" xfId="1179"/>
    <cellStyle name="Normal 3 3 2 3 3 3" xfId="1180"/>
    <cellStyle name="Normal 4 2 2 3 3 3" xfId="1181"/>
    <cellStyle name="Normal 3 4 2 3 3 3" xfId="1182"/>
    <cellStyle name="Normal 4 3 2 3 3 3" xfId="1183"/>
    <cellStyle name="Normal 3 6 2 3 3" xfId="1184"/>
    <cellStyle name="Normal 4 5 2 3 3" xfId="1185"/>
    <cellStyle name="Normal 3 2 3 2 3 3" xfId="1186"/>
    <cellStyle name="Normal 3 3 3 2 3 3" xfId="1187"/>
    <cellStyle name="Normal 4 2 3 2 3 3" xfId="1188"/>
    <cellStyle name="Normal 3 4 3 2 3 3" xfId="1189"/>
    <cellStyle name="Normal 4 3 3 2 3 3" xfId="1190"/>
    <cellStyle name="Normal 3 5 2 2 3 3" xfId="1191"/>
    <cellStyle name="Normal 4 4 2 2 3 3" xfId="1192"/>
    <cellStyle name="Normal 3 2 2 2 2 3 3" xfId="1193"/>
    <cellStyle name="Normal 3 3 2 2 2 3 3" xfId="1194"/>
    <cellStyle name="Normal 4 2 2 2 2 3 3" xfId="1195"/>
    <cellStyle name="Normal 3 4 2 2 2 3 3" xfId="1196"/>
    <cellStyle name="Normal 4 3 2 2 2 3 3" xfId="1197"/>
    <cellStyle name="Normal 3 7 2 3 3" xfId="1198"/>
    <cellStyle name="Normal 4 6 2 3 3" xfId="1199"/>
    <cellStyle name="Normal 3 2 4 2 3 3" xfId="1200"/>
    <cellStyle name="Normal 3 3 4 2 3 3" xfId="1201"/>
    <cellStyle name="Normal 4 2 4 2 3 3" xfId="1202"/>
    <cellStyle name="Normal 3 4 4 2 3 3" xfId="1203"/>
    <cellStyle name="Normal 4 3 4 2 3 3" xfId="1204"/>
    <cellStyle name="Komma 2 3 3" xfId="1205"/>
    <cellStyle name="Normal 3 9 2 3" xfId="1206"/>
    <cellStyle name="Normal 4 8 2 3" xfId="1207"/>
    <cellStyle name="Normal 3 2 6 2 3" xfId="1208"/>
    <cellStyle name="Normal 3 3 6 2 3" xfId="1209"/>
    <cellStyle name="Normal 4 2 6 2 3" xfId="1210"/>
    <cellStyle name="Normal 3 4 6 2 3" xfId="1211"/>
    <cellStyle name="Normal 4 3 6 2 3" xfId="1212"/>
    <cellStyle name="Normal 3 5 4 2 3" xfId="1213"/>
    <cellStyle name="Normal 4 4 4 2 3" xfId="1214"/>
    <cellStyle name="Normal 3 2 2 4 2 3" xfId="1215"/>
    <cellStyle name="Normal 3 3 2 4 2 3" xfId="1216"/>
    <cellStyle name="Normal 4 2 2 4 2 3" xfId="1217"/>
    <cellStyle name="Normal 3 4 2 4 2 3" xfId="1218"/>
    <cellStyle name="Normal 4 3 2 4 2 3" xfId="1219"/>
    <cellStyle name="Normal 3 6 3 2 3" xfId="1220"/>
    <cellStyle name="Normal 4 5 3 2 3" xfId="1221"/>
    <cellStyle name="Normal 3 2 3 3 2 3" xfId="1222"/>
    <cellStyle name="Normal 3 3 3 3 2 3" xfId="1223"/>
    <cellStyle name="Normal 4 2 3 3 2 3" xfId="1224"/>
    <cellStyle name="Normal 3 4 3 3 2 3" xfId="1225"/>
    <cellStyle name="Normal 4 3 3 3 2 3" xfId="1226"/>
    <cellStyle name="Normal 3 5 2 3 2 3" xfId="1227"/>
    <cellStyle name="Normal 4 4 2 3 2 3" xfId="1228"/>
    <cellStyle name="Normal 3 2 2 2 3 2 3" xfId="1229"/>
    <cellStyle name="Normal 3 3 2 2 3 2 3" xfId="1230"/>
    <cellStyle name="Normal 4 2 2 2 3 2 3" xfId="1231"/>
    <cellStyle name="Normal 3 4 2 2 3 2 3" xfId="1232"/>
    <cellStyle name="Normal 4 3 2 2 3 2 3" xfId="1233"/>
    <cellStyle name="Normal 3 7 3 2 3" xfId="1234"/>
    <cellStyle name="Normal 4 6 3 2 3" xfId="1235"/>
    <cellStyle name="Normal 3 2 4 3 2 3" xfId="1236"/>
    <cellStyle name="Normal 3 3 4 3 2 3" xfId="1237"/>
    <cellStyle name="Normal 4 2 4 3 2 3" xfId="1238"/>
    <cellStyle name="Normal 3 4 4 3 2 3" xfId="1239"/>
    <cellStyle name="Normal 4 3 4 3 2 3" xfId="1240"/>
    <cellStyle name="Komma 3 2 3" xfId="1241"/>
    <cellStyle name="Normal 3 8 2 2 3" xfId="1242"/>
    <cellStyle name="Normal 4 7 2 2 3" xfId="1243"/>
    <cellStyle name="Normal 3 2 5 2 2 3" xfId="1244"/>
    <cellStyle name="Normal 3 3 5 2 2 3" xfId="1245"/>
    <cellStyle name="Normal 4 2 5 2 2 3" xfId="1246"/>
    <cellStyle name="Normal 3 4 5 2 2 3" xfId="1247"/>
    <cellStyle name="Normal 4 3 5 2 2 3" xfId="1248"/>
    <cellStyle name="Normal 3 5 3 2 2 3" xfId="1249"/>
    <cellStyle name="Normal 4 4 3 2 2 3" xfId="1250"/>
    <cellStyle name="Normal 3 2 2 3 2 2 3" xfId="1251"/>
    <cellStyle name="Normal 3 3 2 3 2 2 3" xfId="1252"/>
    <cellStyle name="Normal 4 2 2 3 2 2 3" xfId="1253"/>
    <cellStyle name="Normal 3 4 2 3 2 2 3" xfId="1254"/>
    <cellStyle name="Normal 4 3 2 3 2 2 3" xfId="1255"/>
    <cellStyle name="Normal 3 6 2 2 2 3" xfId="1256"/>
    <cellStyle name="Normal 4 5 2 2 2 3" xfId="1257"/>
    <cellStyle name="Normal 3 2 3 2 2 2 3" xfId="1258"/>
    <cellStyle name="Normal 3 3 3 2 2 2 3" xfId="1259"/>
    <cellStyle name="Normal 4 2 3 2 2 2 3" xfId="1260"/>
    <cellStyle name="Normal 3 4 3 2 2 2 3" xfId="1261"/>
    <cellStyle name="Normal 4 3 3 2 2 2 3" xfId="1262"/>
    <cellStyle name="Normal 3 5 2 2 2 2 3" xfId="1263"/>
    <cellStyle name="Normal 4 4 2 2 2 2 3" xfId="1264"/>
    <cellStyle name="Normal 3 2 2 2 2 2 2 3" xfId="1265"/>
    <cellStyle name="Normal 3 3 2 2 2 2 2 3" xfId="1266"/>
    <cellStyle name="Normal 4 2 2 2 2 2 2 3" xfId="1267"/>
    <cellStyle name="Normal 3 4 2 2 2 2 2 3" xfId="1268"/>
    <cellStyle name="Normal 4 3 2 2 2 2 2 3" xfId="1269"/>
    <cellStyle name="Normal 3 7 2 2 2 3" xfId="1270"/>
    <cellStyle name="Normal 4 6 2 2 2 3" xfId="1271"/>
    <cellStyle name="Normal 3 2 4 2 2 2 3" xfId="1272"/>
    <cellStyle name="Normal 3 3 4 2 2 2 3" xfId="1273"/>
    <cellStyle name="Normal 4 2 4 2 2 2 3" xfId="1274"/>
    <cellStyle name="Normal 3 4 4 2 2 2 3" xfId="1275"/>
    <cellStyle name="Normal 4 3 4 2 2 2 3" xfId="1276"/>
    <cellStyle name="Komma 2 2 2 3" xfId="1277"/>
    <cellStyle name="Normal 2 5 2" xfId="1278"/>
    <cellStyle name="Normal 13" xfId="1279"/>
    <cellStyle name="Normal 14" xfId="1280"/>
    <cellStyle name="Komma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 topLeftCell="A34">
      <selection activeCell="E22" sqref="E22"/>
    </sheetView>
  </sheetViews>
  <sheetFormatPr defaultColWidth="9.140625" defaultRowHeight="12.75"/>
  <cols>
    <col min="1" max="1" width="8.57421875" style="0" customWidth="1"/>
    <col min="2" max="2" width="3.421875" style="0" customWidth="1"/>
    <col min="3" max="3" width="42.00390625" style="0" customWidth="1"/>
    <col min="4" max="4" width="15.140625" style="0" customWidth="1"/>
    <col min="5" max="5" width="14.00390625" style="0" customWidth="1"/>
  </cols>
  <sheetData>
    <row r="1" spans="2:5" ht="26.25" thickBot="1">
      <c r="B1" s="14" t="s">
        <v>395</v>
      </c>
      <c r="C1" s="15"/>
      <c r="D1" s="15"/>
      <c r="E1" s="39"/>
    </row>
    <row r="2" spans="2:5" s="40" customFormat="1" ht="15.75" customHeight="1">
      <c r="B2" s="44"/>
      <c r="C2" s="342"/>
      <c r="D2" s="44"/>
      <c r="E2" s="44"/>
    </row>
    <row r="3" spans="2:5" s="5" customFormat="1" ht="19.5" customHeight="1">
      <c r="B3" s="70" t="s">
        <v>11</v>
      </c>
      <c r="C3" s="6"/>
      <c r="D3" s="6"/>
      <c r="E3" s="6"/>
    </row>
    <row r="4" spans="2:5" s="1" customFormat="1" ht="57" customHeight="1">
      <c r="B4" s="18" t="s">
        <v>24</v>
      </c>
      <c r="C4" s="19"/>
      <c r="D4" s="20" t="s">
        <v>731</v>
      </c>
      <c r="E4" s="20" t="s">
        <v>730</v>
      </c>
    </row>
    <row r="5" spans="2:5" s="5" customFormat="1" ht="25.5">
      <c r="B5" s="62" t="s">
        <v>3</v>
      </c>
      <c r="C5" s="63"/>
      <c r="D5" s="153"/>
      <c r="E5" s="64" t="s">
        <v>17</v>
      </c>
    </row>
    <row r="6" spans="2:5" s="5" customFormat="1" ht="12.75">
      <c r="B6" s="109" t="s">
        <v>294</v>
      </c>
      <c r="C6" s="63"/>
      <c r="D6" s="182">
        <v>24334756</v>
      </c>
      <c r="E6" s="135">
        <f>+'Økonomi-drift'!G119</f>
        <v>18017017</v>
      </c>
    </row>
    <row r="7" spans="2:5" s="5" customFormat="1" ht="12.75">
      <c r="B7" s="63" t="s">
        <v>23</v>
      </c>
      <c r="C7" s="63"/>
      <c r="D7" s="182">
        <v>2546526</v>
      </c>
      <c r="E7" s="135">
        <f>'Plan og Teknik-drift'!G71</f>
        <v>3045355</v>
      </c>
    </row>
    <row r="8" spans="2:5" s="5" customFormat="1" ht="12.75">
      <c r="B8" s="109" t="s">
        <v>397</v>
      </c>
      <c r="C8" s="63"/>
      <c r="D8" s="182">
        <v>24908059</v>
      </c>
      <c r="E8" s="135">
        <f>'Børn og Læring-drift'!G116</f>
        <v>29355763</v>
      </c>
    </row>
    <row r="9" spans="2:5" s="5" customFormat="1" ht="12.75">
      <c r="B9" s="63" t="s">
        <v>0</v>
      </c>
      <c r="C9" s="63"/>
      <c r="D9" s="182">
        <v>3716338</v>
      </c>
      <c r="E9" s="135">
        <f>'Kultur og Fritid-drift'!G28</f>
        <v>2511834</v>
      </c>
    </row>
    <row r="10" spans="2:5" s="5" customFormat="1" ht="12.75">
      <c r="B10" s="63" t="s">
        <v>16</v>
      </c>
      <c r="C10" s="63"/>
      <c r="D10" s="182">
        <v>9173928</v>
      </c>
      <c r="E10" s="135">
        <f>SUM('Social og Sundhed-drift'!F181)</f>
        <v>16310306</v>
      </c>
    </row>
    <row r="11" spans="2:5" s="5" customFormat="1" ht="12.75">
      <c r="B11" s="63" t="s">
        <v>1</v>
      </c>
      <c r="C11" s="63"/>
      <c r="D11" s="182">
        <v>22301</v>
      </c>
      <c r="E11" s="135">
        <f>'Arbejdsmarked og Integra.-drift'!G13</f>
        <v>244261</v>
      </c>
    </row>
    <row r="12" spans="2:5" s="5" customFormat="1" ht="20.25">
      <c r="B12" s="65" t="s">
        <v>2</v>
      </c>
      <c r="C12" s="66"/>
      <c r="D12" s="341">
        <v>64701904</v>
      </c>
      <c r="E12" s="303">
        <f>SUM(E6:E11)</f>
        <v>69484536</v>
      </c>
    </row>
    <row r="13" spans="2:5" s="5" customFormat="1" ht="12.75">
      <c r="B13" s="63"/>
      <c r="C13" s="63"/>
      <c r="D13" s="63"/>
      <c r="E13" s="135"/>
    </row>
    <row r="14" spans="2:5" s="5" customFormat="1" ht="20.25">
      <c r="B14" s="67" t="s">
        <v>25</v>
      </c>
      <c r="C14" s="63"/>
      <c r="D14" s="63"/>
      <c r="E14" s="135"/>
    </row>
    <row r="15" spans="2:5" s="5" customFormat="1" ht="12.75">
      <c r="B15" s="62" t="s">
        <v>3</v>
      </c>
      <c r="C15" s="63"/>
      <c r="D15" s="63"/>
      <c r="E15" s="135"/>
    </row>
    <row r="16" spans="2:5" s="5" customFormat="1" ht="12.75">
      <c r="B16" s="109" t="s">
        <v>294</v>
      </c>
      <c r="C16" s="63"/>
      <c r="D16" s="182">
        <v>97144</v>
      </c>
      <c r="E16" s="135">
        <f>'Økonomi-anlæg'!G18</f>
        <v>5026482.3</v>
      </c>
    </row>
    <row r="17" spans="2:5" s="5" customFormat="1" ht="12.75">
      <c r="B17" s="63" t="s">
        <v>23</v>
      </c>
      <c r="C17" s="63"/>
      <c r="D17" s="182">
        <v>33818063</v>
      </c>
      <c r="E17" s="135">
        <f>'Plan og Teknik-anlæg'!G49</f>
        <v>48197148.05</v>
      </c>
    </row>
    <row r="18" spans="2:5" s="5" customFormat="1" ht="12.75">
      <c r="B18" s="109" t="s">
        <v>397</v>
      </c>
      <c r="C18" s="63"/>
      <c r="D18" s="182">
        <v>7349738</v>
      </c>
      <c r="E18" s="135">
        <f>'Børn og Læring-anlæg'!F18</f>
        <v>14301403.65</v>
      </c>
    </row>
    <row r="19" spans="2:5" s="5" customFormat="1" ht="12.75">
      <c r="B19" s="63" t="s">
        <v>0</v>
      </c>
      <c r="C19" s="63"/>
      <c r="D19" s="182">
        <v>4715398</v>
      </c>
      <c r="E19" s="135">
        <f>'Kultur og Fritid-anlæg'!G14</f>
        <v>11002215.08</v>
      </c>
    </row>
    <row r="20" spans="2:5" s="5" customFormat="1" ht="12.75">
      <c r="B20" s="63" t="s">
        <v>16</v>
      </c>
      <c r="C20" s="63"/>
      <c r="D20" s="182">
        <v>3505373</v>
      </c>
      <c r="E20" s="135">
        <f>'Social og Sundhed-anlæg'!G18</f>
        <v>6899908</v>
      </c>
    </row>
    <row r="21" spans="2:5" s="5" customFormat="1" ht="12.75">
      <c r="B21" s="63" t="s">
        <v>1</v>
      </c>
      <c r="C21" s="63"/>
      <c r="D21" s="153">
        <v>0</v>
      </c>
      <c r="E21" s="135">
        <f>'Arbejdsmarked og Integra.-anlæg'!G11</f>
        <v>0</v>
      </c>
    </row>
    <row r="22" spans="2:5" s="5" customFormat="1" ht="12.75">
      <c r="B22" s="63" t="s">
        <v>118</v>
      </c>
      <c r="C22" s="63"/>
      <c r="D22" s="182">
        <v>2878696</v>
      </c>
      <c r="E22" s="135">
        <f>'Byggemodning mv.'!G11</f>
        <v>1483543</v>
      </c>
    </row>
    <row r="23" spans="2:5" s="5" customFormat="1" ht="12.75">
      <c r="B23" s="50" t="s">
        <v>141</v>
      </c>
      <c r="C23" s="63"/>
      <c r="D23" s="182">
        <v>-7217840</v>
      </c>
      <c r="E23" s="135">
        <f>SUM('Byggemodning mv.'!G15)</f>
        <v>-8756741</v>
      </c>
    </row>
    <row r="24" spans="2:5" s="5" customFormat="1" ht="12.75">
      <c r="B24" s="63" t="s">
        <v>128</v>
      </c>
      <c r="C24" s="63"/>
      <c r="D24" s="182">
        <v>0</v>
      </c>
      <c r="E24" s="135">
        <v>0</v>
      </c>
    </row>
    <row r="25" spans="2:5" s="5" customFormat="1" ht="20.25">
      <c r="B25" s="65" t="s">
        <v>5</v>
      </c>
      <c r="C25" s="66"/>
      <c r="D25" s="341">
        <v>45146572</v>
      </c>
      <c r="E25" s="303">
        <f>SUM(E16:E24)</f>
        <v>78153959.08</v>
      </c>
    </row>
    <row r="26" spans="2:5" s="5" customFormat="1" ht="12.75">
      <c r="B26" s="63"/>
      <c r="C26" s="63"/>
      <c r="D26" s="63"/>
      <c r="E26" s="159"/>
    </row>
    <row r="27" spans="2:5" s="5" customFormat="1" ht="12.75">
      <c r="B27" s="62" t="s">
        <v>4</v>
      </c>
      <c r="C27" s="63"/>
      <c r="D27" s="63"/>
      <c r="E27" s="159"/>
    </row>
    <row r="28" spans="2:5" s="5" customFormat="1" ht="12.75">
      <c r="B28" s="68" t="s">
        <v>398</v>
      </c>
      <c r="C28" s="69"/>
      <c r="D28" s="287" t="s">
        <v>606</v>
      </c>
      <c r="E28" s="158">
        <v>-22900000</v>
      </c>
    </row>
    <row r="29" spans="2:5" s="5" customFormat="1" ht="12.75">
      <c r="B29" s="68" t="s">
        <v>303</v>
      </c>
      <c r="C29" s="69"/>
      <c r="D29" s="287" t="s">
        <v>607</v>
      </c>
      <c r="E29" s="288">
        <v>-20179780</v>
      </c>
    </row>
    <row r="30" spans="2:5" s="5" customFormat="1" ht="12.75">
      <c r="B30" s="68" t="s">
        <v>211</v>
      </c>
      <c r="C30" s="69"/>
      <c r="D30" s="110" t="s">
        <v>419</v>
      </c>
      <c r="E30" s="158">
        <v>27123411</v>
      </c>
    </row>
    <row r="31" spans="2:5" s="5" customFormat="1" ht="12.75">
      <c r="B31" s="68"/>
      <c r="C31" s="69"/>
      <c r="D31" s="69"/>
      <c r="E31" s="158"/>
    </row>
    <row r="32" spans="2:5" s="5" customFormat="1" ht="12.75">
      <c r="B32" s="69"/>
      <c r="C32" s="69"/>
      <c r="D32" s="69"/>
      <c r="E32" s="159"/>
    </row>
    <row r="33" spans="2:5" s="5" customFormat="1" ht="20.25">
      <c r="B33" s="65" t="s">
        <v>15</v>
      </c>
      <c r="C33" s="66"/>
      <c r="D33" s="343">
        <v>2147611</v>
      </c>
      <c r="E33" s="303">
        <f>SUM(E28:E32)</f>
        <v>-15956369</v>
      </c>
    </row>
    <row r="34" spans="2:5" s="5" customFormat="1" ht="12.75">
      <c r="B34" s="63"/>
      <c r="C34" s="63"/>
      <c r="D34" s="63"/>
      <c r="E34" s="159"/>
    </row>
    <row r="35" spans="2:5" s="5" customFormat="1" ht="20.25">
      <c r="B35" s="65" t="s">
        <v>6</v>
      </c>
      <c r="C35" s="66"/>
      <c r="D35" s="343">
        <v>111996087</v>
      </c>
      <c r="E35" s="303">
        <f>E12+E25+E33</f>
        <v>131682126.07999998</v>
      </c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</sheetData>
  <printOptions/>
  <pageMargins left="0" right="0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 topLeftCell="A1">
      <selection activeCell="B1" sqref="B1"/>
    </sheetView>
  </sheetViews>
  <sheetFormatPr defaultColWidth="9.28125" defaultRowHeight="12.75"/>
  <cols>
    <col min="1" max="1" width="2.00390625" style="131" customWidth="1"/>
    <col min="2" max="2" width="10.421875" style="131" customWidth="1"/>
    <col min="3" max="3" width="30.140625" style="131" customWidth="1"/>
    <col min="4" max="4" width="11.421875" style="131" customWidth="1"/>
    <col min="5" max="5" width="10.421875" style="131" customWidth="1"/>
    <col min="6" max="6" width="12.421875" style="131" customWidth="1"/>
    <col min="7" max="7" width="17.57421875" style="131" customWidth="1"/>
    <col min="8" max="16384" width="9.28125" style="131" customWidth="1"/>
  </cols>
  <sheetData>
    <row r="1" ht="13.5" thickBot="1"/>
    <row r="2" spans="2:6" ht="26.25" thickBot="1">
      <c r="B2" s="356" t="s">
        <v>597</v>
      </c>
      <c r="C2" s="357"/>
      <c r="D2" s="357"/>
      <c r="E2" s="357"/>
      <c r="F2" s="358"/>
    </row>
    <row r="4" spans="2:3" ht="18">
      <c r="B4" s="41" t="s">
        <v>510</v>
      </c>
      <c r="C4" s="201"/>
    </row>
    <row r="5" spans="2:7" ht="15">
      <c r="B5" s="261"/>
      <c r="C5" s="262" t="s">
        <v>580</v>
      </c>
      <c r="D5" s="262"/>
      <c r="E5" s="261"/>
      <c r="F5" s="261"/>
      <c r="G5" s="261"/>
    </row>
    <row r="6" spans="2:7" ht="12.75">
      <c r="B6" s="263" t="s">
        <v>13</v>
      </c>
      <c r="C6" s="263" t="s">
        <v>581</v>
      </c>
      <c r="D6" s="264" t="s">
        <v>582</v>
      </c>
      <c r="E6" s="265" t="s">
        <v>583</v>
      </c>
      <c r="F6" s="265" t="s">
        <v>584</v>
      </c>
      <c r="G6" s="265" t="s">
        <v>598</v>
      </c>
    </row>
    <row r="7" spans="2:7" ht="12.75">
      <c r="B7" s="266"/>
      <c r="C7" s="266"/>
      <c r="D7" s="267">
        <v>2017</v>
      </c>
      <c r="E7" s="268">
        <v>2017</v>
      </c>
      <c r="F7" s="268" t="s">
        <v>585</v>
      </c>
      <c r="G7" s="268"/>
    </row>
    <row r="8" spans="2:7" ht="51">
      <c r="B8" s="269" t="s">
        <v>386</v>
      </c>
      <c r="C8" s="176" t="s">
        <v>387</v>
      </c>
      <c r="D8" s="270">
        <v>1361725</v>
      </c>
      <c r="E8" s="271">
        <v>844718</v>
      </c>
      <c r="F8" s="270">
        <f>D8-E8</f>
        <v>517007</v>
      </c>
      <c r="G8" s="284" t="s">
        <v>602</v>
      </c>
    </row>
    <row r="9" spans="2:7" ht="38.25">
      <c r="B9" s="273" t="s">
        <v>208</v>
      </c>
      <c r="C9" s="274" t="s">
        <v>586</v>
      </c>
      <c r="D9" s="270">
        <v>264867</v>
      </c>
      <c r="E9" s="271">
        <v>181749</v>
      </c>
      <c r="F9" s="270">
        <f aca="true" t="shared" si="0" ref="F9:F17">D9-E9</f>
        <v>83118</v>
      </c>
      <c r="G9" s="284" t="s">
        <v>599</v>
      </c>
    </row>
    <row r="10" spans="2:7" ht="38.25">
      <c r="B10" s="273" t="s">
        <v>388</v>
      </c>
      <c r="C10" s="274" t="s">
        <v>587</v>
      </c>
      <c r="D10" s="270">
        <f>4467+1024878</f>
        <v>1029345</v>
      </c>
      <c r="E10" s="271">
        <v>449601</v>
      </c>
      <c r="F10" s="270">
        <f t="shared" si="0"/>
        <v>579744</v>
      </c>
      <c r="G10" s="284" t="s">
        <v>599</v>
      </c>
    </row>
    <row r="11" spans="2:7" ht="38.25">
      <c r="B11" s="273" t="s">
        <v>588</v>
      </c>
      <c r="C11" s="274" t="s">
        <v>589</v>
      </c>
      <c r="D11" s="270">
        <f>950080+2193500</f>
        <v>3143580</v>
      </c>
      <c r="E11" s="271">
        <f>339605+39939</f>
        <v>379544</v>
      </c>
      <c r="F11" s="270">
        <f t="shared" si="0"/>
        <v>2764036</v>
      </c>
      <c r="G11" s="285" t="s">
        <v>599</v>
      </c>
    </row>
    <row r="12" spans="2:7" ht="51">
      <c r="B12" s="273" t="s">
        <v>389</v>
      </c>
      <c r="C12" s="274" t="s">
        <v>390</v>
      </c>
      <c r="D12" s="270">
        <v>8644000</v>
      </c>
      <c r="E12" s="271">
        <v>0</v>
      </c>
      <c r="F12" s="270">
        <v>0</v>
      </c>
      <c r="G12" s="284" t="s">
        <v>605</v>
      </c>
    </row>
    <row r="13" spans="2:7" ht="12.75">
      <c r="B13" s="273" t="s">
        <v>391</v>
      </c>
      <c r="C13" s="274" t="s">
        <v>392</v>
      </c>
      <c r="D13" s="270">
        <v>382242</v>
      </c>
      <c r="E13" s="271">
        <v>340817.89</v>
      </c>
      <c r="F13" s="270">
        <f t="shared" si="0"/>
        <v>41424.109999999986</v>
      </c>
      <c r="G13" s="272" t="s">
        <v>600</v>
      </c>
    </row>
    <row r="14" spans="2:7" ht="51">
      <c r="B14" s="273" t="s">
        <v>590</v>
      </c>
      <c r="C14" s="274" t="s">
        <v>591</v>
      </c>
      <c r="D14" s="270">
        <v>-1136000</v>
      </c>
      <c r="E14" s="271">
        <v>-33237.14</v>
      </c>
      <c r="F14" s="270">
        <f t="shared" si="0"/>
        <v>-1102762.86</v>
      </c>
      <c r="G14" s="284" t="s">
        <v>603</v>
      </c>
    </row>
    <row r="15" spans="2:7" ht="25.5">
      <c r="B15" s="273" t="s">
        <v>592</v>
      </c>
      <c r="C15" s="274" t="s">
        <v>593</v>
      </c>
      <c r="D15" s="270">
        <v>0</v>
      </c>
      <c r="E15" s="271">
        <v>192911</v>
      </c>
      <c r="F15" s="270">
        <f t="shared" si="0"/>
        <v>-192911</v>
      </c>
      <c r="G15" s="283" t="s">
        <v>601</v>
      </c>
    </row>
    <row r="16" spans="2:7" ht="12.75">
      <c r="B16" s="269" t="s">
        <v>209</v>
      </c>
      <c r="C16" s="176" t="s">
        <v>210</v>
      </c>
      <c r="D16" s="270">
        <v>535404</v>
      </c>
      <c r="E16" s="271">
        <v>10839.6</v>
      </c>
      <c r="F16" s="270">
        <f t="shared" si="0"/>
        <v>524564.4</v>
      </c>
      <c r="G16" s="283" t="s">
        <v>601</v>
      </c>
    </row>
    <row r="17" spans="2:7" ht="38.25">
      <c r="B17" s="269" t="s">
        <v>284</v>
      </c>
      <c r="C17" s="176" t="s">
        <v>285</v>
      </c>
      <c r="D17" s="270">
        <v>12448113</v>
      </c>
      <c r="E17" s="271">
        <v>1360929</v>
      </c>
      <c r="F17" s="270">
        <f t="shared" si="0"/>
        <v>11087184</v>
      </c>
      <c r="G17" s="284" t="s">
        <v>604</v>
      </c>
    </row>
    <row r="18" spans="1:7" ht="12.75">
      <c r="A18" s="37"/>
      <c r="B18" s="275" t="s">
        <v>594</v>
      </c>
      <c r="C18" s="275"/>
      <c r="D18" s="276">
        <f>SUM(D8:D17)</f>
        <v>26673276</v>
      </c>
      <c r="E18" s="276">
        <f aca="true" t="shared" si="1" ref="E18:F18">SUM(E8:E17)</f>
        <v>3727872.35</v>
      </c>
      <c r="F18" s="276">
        <f t="shared" si="1"/>
        <v>14301403.65</v>
      </c>
      <c r="G18" s="286"/>
    </row>
    <row r="19" spans="2:6" ht="12.75">
      <c r="B19" s="277" t="s">
        <v>595</v>
      </c>
      <c r="C19" s="278"/>
      <c r="D19" s="279"/>
      <c r="E19" s="280"/>
      <c r="F19" s="280"/>
    </row>
    <row r="20" spans="2:6" ht="12.75">
      <c r="B20" s="277" t="s">
        <v>596</v>
      </c>
      <c r="C20" s="278"/>
      <c r="D20" s="279"/>
      <c r="E20" s="280"/>
      <c r="F20" s="280"/>
    </row>
    <row r="21" spans="2:6" ht="12.75">
      <c r="B21" s="359"/>
      <c r="C21" s="360"/>
      <c r="D21" s="281"/>
      <c r="E21" s="282"/>
      <c r="F21" s="282"/>
    </row>
  </sheetData>
  <mergeCells count="2">
    <mergeCell ref="B2:F2"/>
    <mergeCell ref="B21:C21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 topLeftCell="A1">
      <selection activeCell="B15" sqref="B15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28.421875" style="0" customWidth="1"/>
    <col min="5" max="6" width="13.421875" style="0" customWidth="1"/>
    <col min="7" max="7" width="14.00390625" style="0" customWidth="1"/>
    <col min="8" max="8" width="12.421875" style="4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6"/>
    </row>
    <row r="4" spans="2:3" ht="18">
      <c r="B4" s="13" t="s">
        <v>9</v>
      </c>
      <c r="C4" s="2"/>
    </row>
    <row r="5" ht="18">
      <c r="B5" s="13" t="s">
        <v>13</v>
      </c>
    </row>
    <row r="6" spans="2:8" s="1" customFormat="1" ht="39" customHeight="1">
      <c r="B6" s="21" t="s">
        <v>19</v>
      </c>
      <c r="C6" s="21"/>
      <c r="D6" s="22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4.75" customHeight="1">
      <c r="B7" s="46"/>
      <c r="C7" s="46"/>
      <c r="D7" s="46"/>
      <c r="E7" s="46"/>
      <c r="F7" s="46"/>
      <c r="G7" s="64" t="s">
        <v>17</v>
      </c>
      <c r="H7" s="45"/>
    </row>
    <row r="8" spans="2:8" ht="12.75">
      <c r="B8" s="48"/>
      <c r="C8" s="48"/>
      <c r="D8" s="48"/>
      <c r="E8" s="54"/>
      <c r="F8" s="54"/>
      <c r="G8" s="54"/>
      <c r="H8" s="46"/>
    </row>
    <row r="9" spans="2:8" s="32" customFormat="1" ht="12.75">
      <c r="B9" s="48" t="s">
        <v>254</v>
      </c>
      <c r="C9" s="48"/>
      <c r="D9" s="94" t="s">
        <v>293</v>
      </c>
      <c r="E9" s="182">
        <v>-1408406</v>
      </c>
      <c r="F9" s="182">
        <v>52261.65</v>
      </c>
      <c r="G9" s="136">
        <f>E9-F9</f>
        <v>-1460667.65</v>
      </c>
      <c r="H9" s="45" t="s">
        <v>509</v>
      </c>
    </row>
    <row r="10" spans="2:8" s="40" customFormat="1" ht="12.75">
      <c r="B10" s="48" t="s">
        <v>382</v>
      </c>
      <c r="C10" s="48"/>
      <c r="D10" s="95">
        <v>318820</v>
      </c>
      <c r="E10" s="182">
        <v>2047210</v>
      </c>
      <c r="F10" s="182">
        <v>0</v>
      </c>
      <c r="G10" s="136">
        <f aca="true" t="shared" si="0" ref="G10:G12">E10-F10</f>
        <v>2047210</v>
      </c>
      <c r="H10" s="45" t="s">
        <v>509</v>
      </c>
    </row>
    <row r="11" spans="2:8" s="40" customFormat="1" ht="12.75">
      <c r="B11" s="48" t="s">
        <v>383</v>
      </c>
      <c r="C11" s="48"/>
      <c r="D11" s="95">
        <v>318802</v>
      </c>
      <c r="E11" s="182">
        <v>12189145</v>
      </c>
      <c r="F11" s="182">
        <v>2802682.27</v>
      </c>
      <c r="G11" s="136">
        <f>E11-F11</f>
        <v>9386462.73</v>
      </c>
      <c r="H11" s="45" t="s">
        <v>509</v>
      </c>
    </row>
    <row r="12" spans="2:8" s="40" customFormat="1" ht="12.75">
      <c r="B12" s="48" t="s">
        <v>384</v>
      </c>
      <c r="C12" s="48"/>
      <c r="D12" s="95">
        <v>364865</v>
      </c>
      <c r="E12" s="182">
        <v>1029210</v>
      </c>
      <c r="F12" s="182">
        <v>0</v>
      </c>
      <c r="G12" s="136">
        <f t="shared" si="0"/>
        <v>1029210</v>
      </c>
      <c r="H12" s="45" t="s">
        <v>509</v>
      </c>
    </row>
    <row r="13" spans="2:8" ht="12.75">
      <c r="B13" s="55"/>
      <c r="C13" s="48"/>
      <c r="D13" s="95"/>
      <c r="E13" s="54"/>
      <c r="F13" s="54"/>
      <c r="G13" s="136"/>
      <c r="H13" s="45"/>
    </row>
    <row r="14" spans="2:8" ht="12.75">
      <c r="B14" s="47" t="s">
        <v>8</v>
      </c>
      <c r="C14" s="47"/>
      <c r="D14" s="47"/>
      <c r="E14" s="59">
        <f>SUM(E8:E13)</f>
        <v>13857159</v>
      </c>
      <c r="F14" s="59">
        <f>SUM(F8:F13)</f>
        <v>2854943.92</v>
      </c>
      <c r="G14" s="150">
        <f>SUM(G8:G12)</f>
        <v>11002215.08</v>
      </c>
      <c r="H14" s="45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 topLeftCell="A1">
      <selection activeCell="B19" sqref="B19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7.57421875" style="0" customWidth="1"/>
    <col min="4" max="4" width="9.00390625" style="12" customWidth="1"/>
    <col min="5" max="5" width="10.421875" style="0" customWidth="1"/>
    <col min="6" max="6" width="11.421875" style="0" customWidth="1"/>
    <col min="7" max="7" width="13.57421875" style="0" customWidth="1"/>
    <col min="8" max="8" width="8.421875" style="4" customWidth="1"/>
    <col min="9" max="11" width="9.140625" style="0" hidden="1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25"/>
      <c r="E2" s="15"/>
      <c r="F2" s="15"/>
      <c r="G2" s="15"/>
      <c r="H2" s="16"/>
    </row>
    <row r="4" spans="2:3" ht="18">
      <c r="B4" s="13" t="s">
        <v>22</v>
      </c>
      <c r="C4" s="13"/>
    </row>
    <row r="5" spans="2:3" ht="18">
      <c r="B5" s="13" t="s">
        <v>13</v>
      </c>
      <c r="C5" s="1"/>
    </row>
    <row r="6" spans="2:8" s="1" customFormat="1" ht="53.85" customHeight="1">
      <c r="B6" s="21" t="s">
        <v>19</v>
      </c>
      <c r="C6" s="21"/>
      <c r="D6" s="26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6.25" customHeight="1">
      <c r="B7" s="119"/>
      <c r="C7" s="117"/>
      <c r="D7" s="96"/>
      <c r="E7" s="46"/>
      <c r="F7" s="46"/>
      <c r="G7" s="64" t="s">
        <v>17</v>
      </c>
      <c r="H7" s="45"/>
    </row>
    <row r="8" spans="2:8" ht="12.75">
      <c r="B8" s="120"/>
      <c r="C8" s="118"/>
      <c r="D8" s="98"/>
      <c r="E8" s="79"/>
      <c r="F8" s="79"/>
      <c r="G8" s="79"/>
      <c r="H8" s="80"/>
    </row>
    <row r="9" spans="2:9" ht="12.75">
      <c r="B9" s="123"/>
      <c r="C9" s="126"/>
      <c r="D9" s="98"/>
      <c r="E9" s="79"/>
      <c r="F9" s="79"/>
      <c r="G9" s="79"/>
      <c r="H9" s="99"/>
      <c r="I9" t="s">
        <v>162</v>
      </c>
    </row>
    <row r="10" spans="2:8" ht="12.75">
      <c r="B10" s="121" t="s">
        <v>371</v>
      </c>
      <c r="C10" s="118"/>
      <c r="D10" s="124" t="s">
        <v>372</v>
      </c>
      <c r="E10" s="79">
        <v>1291737</v>
      </c>
      <c r="F10" s="79">
        <v>92513</v>
      </c>
      <c r="G10" s="145">
        <f>E10-F10</f>
        <v>1199224</v>
      </c>
      <c r="H10" s="99" t="s">
        <v>509</v>
      </c>
    </row>
    <row r="11" spans="2:8" ht="12.75">
      <c r="B11" s="121" t="s">
        <v>373</v>
      </c>
      <c r="C11" s="118"/>
      <c r="D11" s="124" t="s">
        <v>374</v>
      </c>
      <c r="E11" s="79">
        <v>1193857</v>
      </c>
      <c r="F11" s="79">
        <v>0</v>
      </c>
      <c r="G11" s="145">
        <f>E11-F11</f>
        <v>1193857</v>
      </c>
      <c r="H11" s="99" t="s">
        <v>509</v>
      </c>
    </row>
    <row r="12" spans="2:8" s="40" customFormat="1" ht="12.75">
      <c r="B12" s="121" t="s">
        <v>501</v>
      </c>
      <c r="C12" s="118"/>
      <c r="D12" s="124" t="s">
        <v>502</v>
      </c>
      <c r="E12" s="79">
        <v>1560000</v>
      </c>
      <c r="F12" s="79">
        <v>1777292</v>
      </c>
      <c r="G12" s="145">
        <f>E12-F12</f>
        <v>-217292</v>
      </c>
      <c r="H12" s="99" t="s">
        <v>509</v>
      </c>
    </row>
    <row r="13" spans="2:8" s="32" customFormat="1" ht="12.75">
      <c r="B13" s="121" t="s">
        <v>503</v>
      </c>
      <c r="C13" s="127"/>
      <c r="D13" s="124" t="s">
        <v>504</v>
      </c>
      <c r="E13" s="79">
        <v>1993330</v>
      </c>
      <c r="F13" s="79">
        <v>0</v>
      </c>
      <c r="G13" s="145">
        <f aca="true" t="shared" si="0" ref="G13">E13-F13</f>
        <v>1993330</v>
      </c>
      <c r="H13" s="99" t="s">
        <v>509</v>
      </c>
    </row>
    <row r="14" spans="2:8" ht="12.75">
      <c r="B14" s="121" t="s">
        <v>505</v>
      </c>
      <c r="C14" s="118"/>
      <c r="D14" s="124" t="s">
        <v>506</v>
      </c>
      <c r="E14" s="79">
        <v>822304</v>
      </c>
      <c r="F14" s="79">
        <v>-1263350</v>
      </c>
      <c r="G14" s="145">
        <f aca="true" t="shared" si="1" ref="G14:G16">E14-F14</f>
        <v>2085654</v>
      </c>
      <c r="H14" s="99" t="s">
        <v>509</v>
      </c>
    </row>
    <row r="15" spans="2:8" s="40" customFormat="1" ht="12.75">
      <c r="B15" s="121" t="s">
        <v>375</v>
      </c>
      <c r="C15" s="118"/>
      <c r="D15" s="124" t="s">
        <v>376</v>
      </c>
      <c r="E15" s="79">
        <v>457200</v>
      </c>
      <c r="F15" s="79">
        <v>0</v>
      </c>
      <c r="G15" s="145">
        <f t="shared" si="1"/>
        <v>457200</v>
      </c>
      <c r="H15" s="99" t="s">
        <v>509</v>
      </c>
    </row>
    <row r="16" spans="2:8" ht="12.75">
      <c r="B16" s="196" t="s">
        <v>507</v>
      </c>
      <c r="C16" s="118"/>
      <c r="D16" s="124" t="s">
        <v>508</v>
      </c>
      <c r="E16" s="79">
        <v>0</v>
      </c>
      <c r="F16" s="79">
        <v>-187935</v>
      </c>
      <c r="G16" s="145">
        <f t="shared" si="1"/>
        <v>187935</v>
      </c>
      <c r="H16" s="99" t="s">
        <v>509</v>
      </c>
    </row>
    <row r="17" spans="2:8" s="1" customFormat="1" ht="12.75">
      <c r="B17" s="121"/>
      <c r="C17" s="118"/>
      <c r="D17" s="125"/>
      <c r="E17" s="79"/>
      <c r="F17" s="79"/>
      <c r="G17" s="145"/>
      <c r="H17" s="99"/>
    </row>
    <row r="18" spans="2:8" ht="12.75">
      <c r="B18" s="128" t="s">
        <v>8</v>
      </c>
      <c r="C18" s="122"/>
      <c r="D18" s="100"/>
      <c r="E18" s="81">
        <f>SUM(E9:E17)</f>
        <v>7318428</v>
      </c>
      <c r="F18" s="81">
        <f>SUM(F9:F17)</f>
        <v>418520</v>
      </c>
      <c r="G18" s="146">
        <f>SUM(G9:G16)</f>
        <v>6899908</v>
      </c>
      <c r="H18" s="101"/>
    </row>
    <row r="23" ht="12.75">
      <c r="F23" s="33"/>
    </row>
  </sheetData>
  <printOptions/>
  <pageMargins left="0.3937007874015748" right="0.3937007874015748" top="0.7480314960629921" bottom="0.3937007874015748" header="0" footer="0"/>
  <pageSetup fitToHeight="0"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5" max="5" width="12.421875" style="0" customWidth="1"/>
    <col min="6" max="6" width="11.421875" style="0" customWidth="1"/>
    <col min="7" max="7" width="14.421875" style="0" customWidth="1"/>
    <col min="8" max="8" width="13.421875" style="4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6"/>
    </row>
    <row r="4" spans="2:3" ht="18">
      <c r="B4" s="13" t="s">
        <v>10</v>
      </c>
      <c r="C4" s="2"/>
    </row>
    <row r="5" ht="18">
      <c r="B5" s="13" t="s">
        <v>13</v>
      </c>
    </row>
    <row r="6" spans="2:8" s="1" customFormat="1" ht="39" customHeight="1">
      <c r="B6" s="21" t="s">
        <v>19</v>
      </c>
      <c r="C6" s="21"/>
      <c r="D6" s="22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4.75" customHeight="1">
      <c r="B7" s="46"/>
      <c r="C7" s="46"/>
      <c r="D7" s="46"/>
      <c r="E7" s="46"/>
      <c r="F7" s="46"/>
      <c r="G7" s="97" t="s">
        <v>17</v>
      </c>
      <c r="H7" s="45"/>
    </row>
    <row r="8" spans="2:8" ht="14.1" customHeight="1">
      <c r="B8" s="46"/>
      <c r="C8" s="46"/>
      <c r="D8" s="46"/>
      <c r="E8" s="46"/>
      <c r="F8" s="46"/>
      <c r="G8" s="102"/>
      <c r="H8" s="45"/>
    </row>
    <row r="9" spans="2:8" ht="12.75">
      <c r="B9" s="46" t="s">
        <v>304</v>
      </c>
      <c r="C9" s="46"/>
      <c r="D9" s="46"/>
      <c r="E9" s="36"/>
      <c r="F9" s="36"/>
      <c r="G9" s="36">
        <f>SUM(E9-F9)</f>
        <v>0</v>
      </c>
      <c r="H9" s="71"/>
    </row>
    <row r="10" spans="2:8" ht="12.75">
      <c r="B10" s="46"/>
      <c r="C10" s="46"/>
      <c r="D10" s="46"/>
      <c r="E10" s="36"/>
      <c r="F10" s="36"/>
      <c r="G10" s="36"/>
      <c r="H10" s="71"/>
    </row>
    <row r="11" spans="2:8" s="1" customFormat="1" ht="12.75">
      <c r="B11" s="35" t="s">
        <v>8</v>
      </c>
      <c r="C11" s="35"/>
      <c r="D11" s="35"/>
      <c r="E11" s="61">
        <f>SUM(E8:E10)</f>
        <v>0</v>
      </c>
      <c r="F11" s="61">
        <f>SUM(F8:F10)</f>
        <v>0</v>
      </c>
      <c r="G11" s="61">
        <f>SUM(G9:G9)</f>
        <v>0</v>
      </c>
      <c r="H11" s="72"/>
    </row>
    <row r="12" spans="5:8" ht="12.75">
      <c r="E12" s="3"/>
      <c r="F12" s="3"/>
      <c r="G12" s="3"/>
      <c r="H12" s="7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 topLeftCell="A1">
      <selection activeCell="C19" sqref="C19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421875" style="0" customWidth="1"/>
    <col min="5" max="5" width="11.421875" style="0" customWidth="1"/>
    <col min="6" max="6" width="12.421875" style="0" customWidth="1"/>
    <col min="7" max="7" width="14.421875" style="0" customWidth="1"/>
    <col min="8" max="8" width="23.57421875" style="4" bestFit="1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5"/>
    </row>
    <row r="4" spans="2:3" ht="18">
      <c r="B4" s="13" t="s">
        <v>21</v>
      </c>
      <c r="C4" s="2"/>
    </row>
    <row r="5" ht="18">
      <c r="B5" s="13" t="s">
        <v>117</v>
      </c>
    </row>
    <row r="6" spans="2:8" s="1" customFormat="1" ht="39" customHeight="1">
      <c r="B6" s="21" t="s">
        <v>19</v>
      </c>
      <c r="C6" s="21"/>
      <c r="D6" s="22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4.75" customHeight="1">
      <c r="B7" s="46"/>
      <c r="C7" s="46"/>
      <c r="D7" s="46"/>
      <c r="E7" s="46"/>
      <c r="F7" s="46"/>
      <c r="G7" s="97" t="s">
        <v>17</v>
      </c>
      <c r="H7" s="45"/>
    </row>
    <row r="8" spans="2:8" ht="14.1" customHeight="1">
      <c r="B8" s="46"/>
      <c r="C8" s="103" t="s">
        <v>139</v>
      </c>
      <c r="D8" s="46"/>
      <c r="E8" s="46"/>
      <c r="F8" s="46"/>
      <c r="G8" s="102"/>
      <c r="H8" s="45"/>
    </row>
    <row r="9" spans="2:8" s="10" customFormat="1" ht="12.75" customHeight="1">
      <c r="B9" s="91">
        <v>502</v>
      </c>
      <c r="C9" s="104" t="s">
        <v>115</v>
      </c>
      <c r="D9" s="105" t="s">
        <v>129</v>
      </c>
      <c r="E9" s="173">
        <v>6456786</v>
      </c>
      <c r="F9" s="173">
        <v>5014600</v>
      </c>
      <c r="G9" s="151">
        <f>E9-F9</f>
        <v>1442186</v>
      </c>
      <c r="H9" s="107" t="s">
        <v>429</v>
      </c>
    </row>
    <row r="10" spans="2:8" s="10" customFormat="1" ht="12.75" customHeight="1">
      <c r="B10" s="91">
        <v>502</v>
      </c>
      <c r="C10" s="104" t="s">
        <v>116</v>
      </c>
      <c r="D10" s="105" t="s">
        <v>130</v>
      </c>
      <c r="E10" s="173">
        <v>120000</v>
      </c>
      <c r="F10" s="173">
        <v>78643</v>
      </c>
      <c r="G10" s="151">
        <f>E10-F10</f>
        <v>41357</v>
      </c>
      <c r="H10" s="107" t="s">
        <v>429</v>
      </c>
    </row>
    <row r="11" spans="2:8" s="1" customFormat="1" ht="12.75">
      <c r="B11" s="35"/>
      <c r="C11" s="35" t="s">
        <v>140</v>
      </c>
      <c r="D11" s="35"/>
      <c r="E11" s="61"/>
      <c r="F11" s="61"/>
      <c r="G11" s="140">
        <f>SUM(G9:G10)</f>
        <v>1483543</v>
      </c>
      <c r="H11" s="72"/>
    </row>
    <row r="12" spans="2:8" s="1" customFormat="1" ht="12.75">
      <c r="B12" s="35"/>
      <c r="C12" s="35"/>
      <c r="D12" s="35"/>
      <c r="E12" s="61"/>
      <c r="F12" s="61"/>
      <c r="G12" s="140"/>
      <c r="H12" s="72"/>
    </row>
    <row r="13" spans="2:8" ht="12.75">
      <c r="B13" s="46"/>
      <c r="C13" s="46"/>
      <c r="D13" s="46"/>
      <c r="E13" s="36"/>
      <c r="F13" s="36"/>
      <c r="G13" s="139"/>
      <c r="H13" s="71"/>
    </row>
    <row r="14" spans="2:8" ht="12.75">
      <c r="B14" s="46"/>
      <c r="C14" s="103" t="s">
        <v>142</v>
      </c>
      <c r="D14" s="46"/>
      <c r="E14" s="46"/>
      <c r="F14" s="46"/>
      <c r="G14" s="147"/>
      <c r="H14" s="45"/>
    </row>
    <row r="15" spans="2:8" s="10" customFormat="1" ht="12.75" customHeight="1">
      <c r="B15" s="91">
        <v>103</v>
      </c>
      <c r="C15" s="108" t="s">
        <v>137</v>
      </c>
      <c r="D15" s="105" t="s">
        <v>129</v>
      </c>
      <c r="E15" s="106"/>
      <c r="F15" s="106"/>
      <c r="G15" s="152">
        <v>-8756741</v>
      </c>
      <c r="H15" s="107" t="s">
        <v>429</v>
      </c>
    </row>
    <row r="16" spans="2:8" ht="12.75">
      <c r="B16" s="46"/>
      <c r="C16" s="46"/>
      <c r="D16" s="46"/>
      <c r="E16" s="46"/>
      <c r="F16" s="46"/>
      <c r="G16" s="147"/>
      <c r="H16" s="45"/>
    </row>
    <row r="17" spans="2:8" ht="12.75">
      <c r="B17" s="46"/>
      <c r="C17" s="46"/>
      <c r="D17" s="46"/>
      <c r="E17" s="46"/>
      <c r="F17" s="46"/>
      <c r="G17" s="139"/>
      <c r="H17" s="45"/>
    </row>
    <row r="18" spans="2:8" ht="12.75">
      <c r="B18" s="46"/>
      <c r="C18" s="46"/>
      <c r="D18" s="46"/>
      <c r="E18" s="46"/>
      <c r="F18" s="46" t="s">
        <v>11</v>
      </c>
      <c r="G18" s="139">
        <f>SUM(G11:G15)</f>
        <v>-7273198</v>
      </c>
      <c r="H18" s="45"/>
    </row>
    <row r="23" ht="12.75">
      <c r="F23" s="33"/>
    </row>
  </sheetData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187953-17 Sag nr. 2692-17&amp;R&amp;P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4" max="4" width="8.421875" style="0" customWidth="1"/>
    <col min="5" max="6" width="12.421875" style="0" customWidth="1"/>
    <col min="7" max="7" width="14.421875" style="0" customWidth="1"/>
    <col min="8" max="8" width="13.421875" style="4" customWidth="1"/>
    <col min="9" max="9" width="14.421875" style="0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5"/>
    </row>
    <row r="4" spans="2:3" ht="18">
      <c r="B4" s="2" t="s">
        <v>7</v>
      </c>
      <c r="C4" s="2"/>
    </row>
    <row r="5" ht="18">
      <c r="B5" s="2" t="s">
        <v>119</v>
      </c>
    </row>
    <row r="6" spans="2:8" s="1" customFormat="1" ht="39" customHeight="1">
      <c r="B6" s="21" t="s">
        <v>19</v>
      </c>
      <c r="C6" s="21"/>
      <c r="D6" s="22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4.75" customHeight="1">
      <c r="B7" s="46"/>
      <c r="C7" s="46"/>
      <c r="D7" s="46"/>
      <c r="E7" s="46"/>
      <c r="F7" s="46"/>
      <c r="G7" s="97" t="s">
        <v>17</v>
      </c>
      <c r="H7" s="45"/>
    </row>
    <row r="8" spans="2:8" ht="14.1" customHeight="1">
      <c r="B8" s="46"/>
      <c r="C8" s="46"/>
      <c r="D8" s="46"/>
      <c r="E8" s="46"/>
      <c r="F8" s="46"/>
      <c r="G8" s="102"/>
      <c r="H8" s="45"/>
    </row>
    <row r="9" spans="2:8" ht="12.75">
      <c r="B9" s="46">
        <v>502</v>
      </c>
      <c r="C9" s="46" t="s">
        <v>138</v>
      </c>
      <c r="D9" s="46"/>
      <c r="E9" s="36">
        <v>-5065000</v>
      </c>
      <c r="F9" s="36">
        <v>-6660312</v>
      </c>
      <c r="G9" s="139">
        <f>E9-F9</f>
        <v>1595312</v>
      </c>
      <c r="H9" s="71"/>
    </row>
    <row r="10" spans="2:8" ht="12.75">
      <c r="B10" s="46"/>
      <c r="C10" s="46" t="s">
        <v>143</v>
      </c>
      <c r="D10" s="46"/>
      <c r="E10" s="36">
        <v>0</v>
      </c>
      <c r="F10" s="36">
        <v>-1233990</v>
      </c>
      <c r="G10" s="139">
        <f>E10-F10</f>
        <v>1233990</v>
      </c>
      <c r="H10" s="71"/>
    </row>
    <row r="11" spans="2:8" ht="12.75">
      <c r="B11" s="46"/>
      <c r="C11" s="46"/>
      <c r="D11" s="46"/>
      <c r="E11" s="36"/>
      <c r="F11" s="36"/>
      <c r="G11" s="139"/>
      <c r="H11" s="71"/>
    </row>
    <row r="12" spans="2:8" s="1" customFormat="1" ht="12.75">
      <c r="B12" s="35" t="s">
        <v>8</v>
      </c>
      <c r="C12" s="35"/>
      <c r="D12" s="35"/>
      <c r="E12" s="61">
        <f>SUM(E9:E11)</f>
        <v>-5065000</v>
      </c>
      <c r="F12" s="61">
        <v>-7877261</v>
      </c>
      <c r="G12" s="140">
        <f>E12-F12</f>
        <v>2812261</v>
      </c>
      <c r="H12" s="72" t="s">
        <v>291</v>
      </c>
    </row>
    <row r="13" spans="5:8" ht="12.75">
      <c r="E13" s="3"/>
      <c r="F13" s="3"/>
      <c r="G13" s="3"/>
      <c r="H13" s="7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1"/>
  <sheetViews>
    <sheetView workbookViewId="0" topLeftCell="A70">
      <selection activeCell="M27" sqref="M27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30.7109375" style="0" customWidth="1"/>
    <col min="4" max="4" width="10.421875" style="131" hidden="1" customWidth="1"/>
    <col min="5" max="5" width="12.421875" style="0" customWidth="1"/>
    <col min="6" max="6" width="11.421875" style="0" customWidth="1"/>
    <col min="7" max="7" width="12.28125" style="0" customWidth="1"/>
    <col min="8" max="8" width="10.57421875" style="4" customWidth="1"/>
    <col min="9" max="9" width="11.421875" style="0" customWidth="1"/>
    <col min="10" max="10" width="13.57421875" style="0" customWidth="1"/>
  </cols>
  <sheetData>
    <row r="2" spans="2:9" ht="25.5">
      <c r="B2" s="294" t="str">
        <f>Total!B1</f>
        <v>Budgetoverførsler fra 2017 til 2018</v>
      </c>
      <c r="C2" s="295"/>
      <c r="D2" s="295"/>
      <c r="E2" s="295"/>
      <c r="F2" s="295"/>
      <c r="G2" s="295"/>
      <c r="H2" s="295"/>
      <c r="I2" s="295"/>
    </row>
    <row r="4" spans="2:3" ht="18">
      <c r="B4" s="41" t="s">
        <v>292</v>
      </c>
      <c r="C4" s="2"/>
    </row>
    <row r="5" ht="18">
      <c r="B5" s="13" t="s">
        <v>12</v>
      </c>
    </row>
    <row r="6" spans="2:9" s="1" customFormat="1" ht="66.75" customHeight="1">
      <c r="B6" s="42" t="s">
        <v>161</v>
      </c>
      <c r="C6" s="21"/>
      <c r="D6" s="42" t="s">
        <v>20</v>
      </c>
      <c r="E6" s="23" t="s">
        <v>399</v>
      </c>
      <c r="F6" s="23" t="s">
        <v>400</v>
      </c>
      <c r="G6" s="23" t="s">
        <v>396</v>
      </c>
      <c r="H6" s="23" t="s">
        <v>14</v>
      </c>
      <c r="I6" s="43" t="s">
        <v>608</v>
      </c>
    </row>
    <row r="7" spans="2:9" ht="50.25" customHeight="1">
      <c r="B7" s="46" t="s">
        <v>401</v>
      </c>
      <c r="C7" s="46"/>
      <c r="D7" s="296"/>
      <c r="E7" s="46"/>
      <c r="F7" s="46"/>
      <c r="G7" s="64" t="s">
        <v>17</v>
      </c>
      <c r="H7" s="45"/>
      <c r="I7" s="64" t="s">
        <v>17</v>
      </c>
    </row>
    <row r="8" spans="2:9" s="27" customFormat="1" ht="12.75">
      <c r="B8" s="47" t="s">
        <v>18</v>
      </c>
      <c r="C8" s="48"/>
      <c r="D8" s="297"/>
      <c r="E8" s="48"/>
      <c r="F8" s="48"/>
      <c r="G8" s="48"/>
      <c r="H8" s="49"/>
      <c r="I8" s="49"/>
    </row>
    <row r="9" spans="2:9" s="27" customFormat="1" ht="12.75">
      <c r="B9" s="50"/>
      <c r="C9" s="50"/>
      <c r="D9" s="298"/>
      <c r="E9" s="50"/>
      <c r="F9" s="50"/>
      <c r="G9" s="50"/>
      <c r="H9" s="51"/>
      <c r="I9" s="49"/>
    </row>
    <row r="10" spans="2:9" s="27" customFormat="1" ht="12.75">
      <c r="B10" s="48">
        <v>502</v>
      </c>
      <c r="C10" s="48" t="s">
        <v>297</v>
      </c>
      <c r="D10" s="297"/>
      <c r="E10" s="52"/>
      <c r="F10" s="52"/>
      <c r="G10" s="52"/>
      <c r="H10" s="53"/>
      <c r="I10" s="49"/>
    </row>
    <row r="11" spans="2:9" s="27" customFormat="1" ht="12.75">
      <c r="B11" s="48"/>
      <c r="C11" s="48" t="s">
        <v>163</v>
      </c>
      <c r="D11" s="297" t="s">
        <v>146</v>
      </c>
      <c r="E11" s="344">
        <v>-697462</v>
      </c>
      <c r="F11" s="344">
        <v>-820151</v>
      </c>
      <c r="G11" s="169">
        <f>E11-F11</f>
        <v>122689</v>
      </c>
      <c r="H11" s="157" t="s">
        <v>418</v>
      </c>
      <c r="I11" s="291">
        <v>252042</v>
      </c>
    </row>
    <row r="12" spans="2:9" s="27" customFormat="1" ht="12.75">
      <c r="B12" s="48"/>
      <c r="C12" s="48" t="s">
        <v>164</v>
      </c>
      <c r="D12" s="297" t="s">
        <v>73</v>
      </c>
      <c r="E12" s="344">
        <v>19890</v>
      </c>
      <c r="F12" s="344">
        <v>330</v>
      </c>
      <c r="G12" s="169">
        <f>E12-F12</f>
        <v>19560</v>
      </c>
      <c r="H12" s="157" t="s">
        <v>418</v>
      </c>
      <c r="I12" s="291">
        <v>47326</v>
      </c>
    </row>
    <row r="13" spans="2:9" s="27" customFormat="1" ht="12.75">
      <c r="B13" s="48"/>
      <c r="C13" s="48" t="s">
        <v>90</v>
      </c>
      <c r="D13" s="297" t="s">
        <v>91</v>
      </c>
      <c r="E13" s="344">
        <v>-148240</v>
      </c>
      <c r="F13" s="344">
        <v>-76787</v>
      </c>
      <c r="G13" s="169">
        <f>E13-F13</f>
        <v>-71453</v>
      </c>
      <c r="H13" s="157" t="s">
        <v>418</v>
      </c>
      <c r="I13" s="291">
        <v>-57875</v>
      </c>
    </row>
    <row r="14" spans="2:9" s="27" customFormat="1" ht="12.75">
      <c r="B14" s="48"/>
      <c r="C14" s="48" t="s">
        <v>92</v>
      </c>
      <c r="D14" s="297" t="s">
        <v>93</v>
      </c>
      <c r="E14" s="344">
        <v>594645</v>
      </c>
      <c r="F14" s="344">
        <v>759039</v>
      </c>
      <c r="G14" s="169">
        <f>E14-F14</f>
        <v>-164394</v>
      </c>
      <c r="H14" s="157" t="s">
        <v>418</v>
      </c>
      <c r="I14" s="291">
        <v>-476829</v>
      </c>
    </row>
    <row r="15" spans="2:9" s="27" customFormat="1" ht="12.75">
      <c r="B15" s="48"/>
      <c r="C15" s="48"/>
      <c r="D15" s="297"/>
      <c r="E15" s="54"/>
      <c r="F15" s="54"/>
      <c r="G15" s="136"/>
      <c r="H15" s="53"/>
      <c r="I15" s="95"/>
    </row>
    <row r="16" spans="2:9" s="27" customFormat="1" ht="12.75">
      <c r="B16" s="48">
        <v>100</v>
      </c>
      <c r="C16" s="48" t="s">
        <v>97</v>
      </c>
      <c r="D16" s="297" t="s">
        <v>103</v>
      </c>
      <c r="E16" s="54">
        <v>7076062</v>
      </c>
      <c r="F16" s="54">
        <v>7060172</v>
      </c>
      <c r="G16" s="169">
        <f aca="true" t="shared" si="0" ref="G16:G81">E16-F16</f>
        <v>15890</v>
      </c>
      <c r="H16" s="157" t="s">
        <v>441</v>
      </c>
      <c r="I16" s="95">
        <v>692221</v>
      </c>
    </row>
    <row r="17" spans="2:9" s="27" customFormat="1" ht="12.75">
      <c r="B17" s="48">
        <v>101</v>
      </c>
      <c r="C17" s="48" t="s">
        <v>346</v>
      </c>
      <c r="D17" s="297" t="s">
        <v>103</v>
      </c>
      <c r="E17" s="54">
        <v>17706811</v>
      </c>
      <c r="F17" s="54">
        <v>16833424</v>
      </c>
      <c r="G17" s="169">
        <f t="shared" si="0"/>
        <v>873387</v>
      </c>
      <c r="H17" s="157" t="s">
        <v>441</v>
      </c>
      <c r="I17" s="95">
        <v>447069</v>
      </c>
    </row>
    <row r="18" spans="2:9" s="27" customFormat="1" ht="12.75">
      <c r="B18" s="48">
        <v>102</v>
      </c>
      <c r="C18" s="48" t="s">
        <v>347</v>
      </c>
      <c r="D18" s="297" t="s">
        <v>348</v>
      </c>
      <c r="E18" s="54">
        <v>10181094</v>
      </c>
      <c r="F18" s="54">
        <v>9668616</v>
      </c>
      <c r="G18" s="169">
        <f t="shared" si="0"/>
        <v>512478</v>
      </c>
      <c r="H18" s="157" t="s">
        <v>441</v>
      </c>
      <c r="I18" s="95">
        <v>288291</v>
      </c>
    </row>
    <row r="19" spans="2:9" s="27" customFormat="1" ht="12.75">
      <c r="B19" s="48">
        <v>103</v>
      </c>
      <c r="C19" s="48" t="s">
        <v>98</v>
      </c>
      <c r="D19" s="297" t="s">
        <v>103</v>
      </c>
      <c r="E19" s="54">
        <v>17636087</v>
      </c>
      <c r="F19" s="54">
        <v>16655509</v>
      </c>
      <c r="G19" s="169">
        <f t="shared" si="0"/>
        <v>980578</v>
      </c>
      <c r="H19" s="157" t="s">
        <v>441</v>
      </c>
      <c r="I19" s="95">
        <v>856902</v>
      </c>
    </row>
    <row r="20" spans="2:9" s="27" customFormat="1" ht="12.75">
      <c r="B20" s="48">
        <v>104</v>
      </c>
      <c r="C20" s="48" t="s">
        <v>349</v>
      </c>
      <c r="D20" s="297" t="s">
        <v>103</v>
      </c>
      <c r="E20" s="54">
        <v>11844026</v>
      </c>
      <c r="F20" s="54">
        <v>10705497</v>
      </c>
      <c r="G20" s="169">
        <f>E20-F20-546328</f>
        <v>592201</v>
      </c>
      <c r="H20" s="157" t="s">
        <v>441</v>
      </c>
      <c r="I20" s="95">
        <v>591535</v>
      </c>
    </row>
    <row r="21" spans="2:9" s="27" customFormat="1" ht="25.5" customHeight="1">
      <c r="B21" s="48">
        <v>105</v>
      </c>
      <c r="C21" s="48" t="s">
        <v>350</v>
      </c>
      <c r="D21" s="297" t="s">
        <v>430</v>
      </c>
      <c r="E21" s="54">
        <v>13666412</v>
      </c>
      <c r="F21" s="54">
        <v>12658294</v>
      </c>
      <c r="G21" s="169">
        <f t="shared" si="0"/>
        <v>1008118</v>
      </c>
      <c r="H21" s="157" t="s">
        <v>441</v>
      </c>
      <c r="I21" s="95">
        <v>664633</v>
      </c>
    </row>
    <row r="22" spans="2:9" s="27" customFormat="1" ht="12.75">
      <c r="B22" s="48">
        <v>109</v>
      </c>
      <c r="C22" s="48" t="s">
        <v>99</v>
      </c>
      <c r="D22" s="297" t="s">
        <v>103</v>
      </c>
      <c r="E22" s="54">
        <v>1717705</v>
      </c>
      <c r="F22" s="54">
        <v>1067738</v>
      </c>
      <c r="G22" s="169">
        <f t="shared" si="0"/>
        <v>649967</v>
      </c>
      <c r="H22" s="157" t="s">
        <v>441</v>
      </c>
      <c r="I22" s="95">
        <v>324047</v>
      </c>
    </row>
    <row r="23" spans="2:9" s="27" customFormat="1" ht="12.75">
      <c r="B23" s="48">
        <v>110</v>
      </c>
      <c r="C23" s="48" t="s">
        <v>100</v>
      </c>
      <c r="D23" s="297" t="s">
        <v>103</v>
      </c>
      <c r="E23" s="54">
        <v>2567032</v>
      </c>
      <c r="F23" s="54">
        <v>2405349</v>
      </c>
      <c r="G23" s="169">
        <f t="shared" si="0"/>
        <v>161683</v>
      </c>
      <c r="H23" s="157" t="s">
        <v>441</v>
      </c>
      <c r="I23" s="95">
        <v>310064</v>
      </c>
    </row>
    <row r="24" spans="2:9" s="27" customFormat="1" ht="12.75">
      <c r="B24" s="48">
        <v>111</v>
      </c>
      <c r="C24" s="48" t="s">
        <v>0</v>
      </c>
      <c r="D24" s="297" t="s">
        <v>103</v>
      </c>
      <c r="E24" s="54">
        <v>2591033</v>
      </c>
      <c r="F24" s="54">
        <v>2560294</v>
      </c>
      <c r="G24" s="169">
        <f t="shared" si="0"/>
        <v>30739</v>
      </c>
      <c r="H24" s="157" t="s">
        <v>441</v>
      </c>
      <c r="I24" s="95">
        <v>-90002</v>
      </c>
    </row>
    <row r="25" spans="2:9" s="27" customFormat="1" ht="12.75">
      <c r="B25" s="48">
        <v>401</v>
      </c>
      <c r="C25" s="48" t="s">
        <v>351</v>
      </c>
      <c r="D25" s="297" t="s">
        <v>289</v>
      </c>
      <c r="E25" s="54">
        <v>5312237</v>
      </c>
      <c r="F25" s="54">
        <v>5024665</v>
      </c>
      <c r="G25" s="169">
        <f t="shared" si="0"/>
        <v>287572</v>
      </c>
      <c r="H25" s="157" t="s">
        <v>441</v>
      </c>
      <c r="I25" s="95">
        <v>436689</v>
      </c>
    </row>
    <row r="26" spans="2:9" s="27" customFormat="1" ht="12.75">
      <c r="B26" s="48">
        <v>501</v>
      </c>
      <c r="C26" s="48" t="s">
        <v>352</v>
      </c>
      <c r="D26" s="297" t="s">
        <v>103</v>
      </c>
      <c r="E26" s="54">
        <v>4468036</v>
      </c>
      <c r="F26" s="54">
        <v>4356326</v>
      </c>
      <c r="G26" s="169">
        <f t="shared" si="0"/>
        <v>111710</v>
      </c>
      <c r="H26" s="157" t="s">
        <v>441</v>
      </c>
      <c r="I26" s="95">
        <v>-52773</v>
      </c>
    </row>
    <row r="27" spans="2:9" s="27" customFormat="1" ht="12.75">
      <c r="B27" s="48">
        <v>502</v>
      </c>
      <c r="C27" s="48" t="s">
        <v>64</v>
      </c>
      <c r="D27" s="297" t="s">
        <v>103</v>
      </c>
      <c r="E27" s="54">
        <v>28291274</v>
      </c>
      <c r="F27" s="54">
        <v>28756854</v>
      </c>
      <c r="G27" s="169">
        <f t="shared" si="0"/>
        <v>-465580</v>
      </c>
      <c r="H27" s="157" t="s">
        <v>441</v>
      </c>
      <c r="I27" s="95">
        <v>-408584</v>
      </c>
    </row>
    <row r="28" spans="2:9" s="27" customFormat="1" ht="12.75">
      <c r="B28" s="48">
        <v>504</v>
      </c>
      <c r="C28" s="48" t="s">
        <v>70</v>
      </c>
      <c r="D28" s="297" t="s">
        <v>103</v>
      </c>
      <c r="E28" s="54">
        <v>6448258</v>
      </c>
      <c r="F28" s="54">
        <v>6457372</v>
      </c>
      <c r="G28" s="169">
        <f t="shared" si="0"/>
        <v>-9114</v>
      </c>
      <c r="H28" s="157" t="s">
        <v>441</v>
      </c>
      <c r="I28" s="95">
        <v>-55335</v>
      </c>
    </row>
    <row r="29" spans="2:9" s="27" customFormat="1" ht="12.75">
      <c r="B29" s="48">
        <v>601</v>
      </c>
      <c r="C29" s="48" t="s">
        <v>101</v>
      </c>
      <c r="D29" s="297" t="s">
        <v>103</v>
      </c>
      <c r="E29" s="54">
        <v>16118622</v>
      </c>
      <c r="F29" s="54">
        <v>15646448</v>
      </c>
      <c r="G29" s="169">
        <f t="shared" si="0"/>
        <v>472174</v>
      </c>
      <c r="H29" s="157" t="s">
        <v>441</v>
      </c>
      <c r="I29" s="95">
        <v>1047777</v>
      </c>
    </row>
    <row r="30" spans="2:9" s="27" customFormat="1" ht="12.75">
      <c r="B30" s="48">
        <v>602</v>
      </c>
      <c r="C30" s="48" t="s">
        <v>102</v>
      </c>
      <c r="D30" s="297" t="s">
        <v>112</v>
      </c>
      <c r="E30" s="54">
        <v>48352741</v>
      </c>
      <c r="F30" s="54">
        <v>49025898</v>
      </c>
      <c r="G30" s="169">
        <f t="shared" si="0"/>
        <v>-673157</v>
      </c>
      <c r="H30" s="157" t="s">
        <v>441</v>
      </c>
      <c r="I30" s="95">
        <v>797580</v>
      </c>
    </row>
    <row r="31" spans="2:9" s="27" customFormat="1" ht="12.75">
      <c r="B31" s="48">
        <v>620</v>
      </c>
      <c r="C31" s="48" t="s">
        <v>431</v>
      </c>
      <c r="D31" s="297" t="s">
        <v>353</v>
      </c>
      <c r="E31" s="54">
        <f>21071550+3550425+211034</f>
        <v>24833009</v>
      </c>
      <c r="F31" s="54">
        <f>21026939+3364622</f>
        <v>24391561</v>
      </c>
      <c r="G31" s="169">
        <f t="shared" si="0"/>
        <v>441448</v>
      </c>
      <c r="H31" s="157" t="s">
        <v>441</v>
      </c>
      <c r="I31" s="95">
        <v>2661425</v>
      </c>
    </row>
    <row r="32" spans="2:9" s="27" customFormat="1" ht="12.75">
      <c r="B32" s="48"/>
      <c r="C32" s="48"/>
      <c r="D32" s="297"/>
      <c r="E32" s="54"/>
      <c r="F32" s="54"/>
      <c r="G32" s="169"/>
      <c r="H32" s="157" t="s">
        <v>148</v>
      </c>
      <c r="I32" s="95"/>
    </row>
    <row r="33" spans="2:9" s="27" customFormat="1" ht="12.75">
      <c r="B33" s="47" t="s">
        <v>125</v>
      </c>
      <c r="C33" s="48"/>
      <c r="D33" s="299"/>
      <c r="E33" s="54"/>
      <c r="F33" s="54"/>
      <c r="G33" s="169"/>
      <c r="H33" s="157" t="s">
        <v>148</v>
      </c>
      <c r="I33" s="95"/>
    </row>
    <row r="34" spans="2:9" s="27" customFormat="1" ht="12.75">
      <c r="B34" s="48">
        <v>100</v>
      </c>
      <c r="C34" s="48" t="s">
        <v>108</v>
      </c>
      <c r="D34" s="297"/>
      <c r="E34" s="170"/>
      <c r="F34" s="170"/>
      <c r="G34" s="169"/>
      <c r="H34" s="157" t="s">
        <v>148</v>
      </c>
      <c r="I34" s="95"/>
    </row>
    <row r="35" spans="2:9" s="27" customFormat="1" ht="12.75">
      <c r="B35" s="48"/>
      <c r="C35" s="48" t="s">
        <v>105</v>
      </c>
      <c r="D35" s="297" t="s">
        <v>103</v>
      </c>
      <c r="E35" s="54">
        <v>2538291</v>
      </c>
      <c r="F35" s="54">
        <v>2495956</v>
      </c>
      <c r="G35" s="169">
        <f>E35-F35</f>
        <v>42335</v>
      </c>
      <c r="H35" s="157" t="s">
        <v>441</v>
      </c>
      <c r="I35" s="95">
        <v>437051</v>
      </c>
    </row>
    <row r="36" spans="2:9" s="27" customFormat="1" ht="12.75">
      <c r="B36" s="48">
        <v>101</v>
      </c>
      <c r="C36" s="48" t="s">
        <v>296</v>
      </c>
      <c r="D36" s="297"/>
      <c r="E36" s="54"/>
      <c r="F36" s="54"/>
      <c r="G36" s="169"/>
      <c r="H36" s="157" t="s">
        <v>148</v>
      </c>
      <c r="I36" s="95"/>
    </row>
    <row r="37" spans="2:9" s="27" customFormat="1" ht="12.75">
      <c r="B37" s="48"/>
      <c r="C37" s="48" t="s">
        <v>105</v>
      </c>
      <c r="D37" s="297" t="s">
        <v>165</v>
      </c>
      <c r="E37" s="54">
        <v>8068527</v>
      </c>
      <c r="F37" s="54">
        <v>7872843</v>
      </c>
      <c r="G37" s="169">
        <f t="shared" si="0"/>
        <v>195684</v>
      </c>
      <c r="H37" s="157" t="s">
        <v>441</v>
      </c>
      <c r="I37" s="95">
        <v>-517215</v>
      </c>
    </row>
    <row r="38" spans="2:9" s="27" customFormat="1" ht="12.75">
      <c r="B38" s="48"/>
      <c r="C38" s="48"/>
      <c r="D38" s="297"/>
      <c r="E38" s="54"/>
      <c r="F38" s="54"/>
      <c r="G38" s="169"/>
      <c r="H38" s="157"/>
      <c r="I38" s="95"/>
    </row>
    <row r="39" spans="2:9" s="27" customFormat="1" ht="12.75">
      <c r="B39" s="47" t="s">
        <v>104</v>
      </c>
      <c r="C39" s="48"/>
      <c r="D39" s="297"/>
      <c r="E39" s="54"/>
      <c r="F39" s="54"/>
      <c r="G39" s="169"/>
      <c r="H39" s="157"/>
      <c r="I39" s="95"/>
    </row>
    <row r="40" spans="2:9" s="27" customFormat="1" ht="12.75">
      <c r="B40" s="168">
        <v>502</v>
      </c>
      <c r="C40" s="48" t="s">
        <v>64</v>
      </c>
      <c r="D40" s="297"/>
      <c r="E40" s="54"/>
      <c r="F40" s="54"/>
      <c r="G40" s="169"/>
      <c r="H40" s="157"/>
      <c r="I40" s="95"/>
    </row>
    <row r="41" spans="2:9" s="27" customFormat="1" ht="12.75">
      <c r="B41" s="47"/>
      <c r="C41" s="48" t="s">
        <v>345</v>
      </c>
      <c r="D41" s="297" t="s">
        <v>93</v>
      </c>
      <c r="E41" s="344">
        <v>0</v>
      </c>
      <c r="F41" s="344">
        <v>-487091</v>
      </c>
      <c r="G41" s="169">
        <f t="shared" si="0"/>
        <v>487091</v>
      </c>
      <c r="H41" s="157" t="s">
        <v>418</v>
      </c>
      <c r="I41" s="95">
        <v>471595</v>
      </c>
    </row>
    <row r="42" spans="2:9" s="27" customFormat="1" ht="12.75">
      <c r="B42" s="48">
        <v>100</v>
      </c>
      <c r="C42" s="48" t="s">
        <v>108</v>
      </c>
      <c r="D42" s="297"/>
      <c r="E42" s="54"/>
      <c r="F42" s="54"/>
      <c r="G42" s="169"/>
      <c r="H42" s="53"/>
      <c r="I42" s="95"/>
    </row>
    <row r="43" spans="2:9" s="27" customFormat="1" ht="12.75">
      <c r="B43" s="48"/>
      <c r="C43" s="48" t="s">
        <v>166</v>
      </c>
      <c r="D43" s="297" t="s">
        <v>286</v>
      </c>
      <c r="E43" s="54">
        <v>8985634</v>
      </c>
      <c r="F43" s="54">
        <v>8166939</v>
      </c>
      <c r="G43" s="169">
        <f t="shared" si="0"/>
        <v>818695</v>
      </c>
      <c r="H43" s="157" t="s">
        <v>441</v>
      </c>
      <c r="I43" s="95">
        <v>377604</v>
      </c>
    </row>
    <row r="44" spans="2:9" s="27" customFormat="1" ht="12.75">
      <c r="B44" s="48"/>
      <c r="C44" s="48" t="s">
        <v>147</v>
      </c>
      <c r="D44" s="297" t="s">
        <v>287</v>
      </c>
      <c r="E44" s="54">
        <v>1197969</v>
      </c>
      <c r="F44" s="54">
        <v>1004125</v>
      </c>
      <c r="G44" s="169">
        <f t="shared" si="0"/>
        <v>193844</v>
      </c>
      <c r="H44" s="157" t="s">
        <v>441</v>
      </c>
      <c r="I44" s="95">
        <v>426549</v>
      </c>
    </row>
    <row r="45" spans="2:9" s="27" customFormat="1" ht="12.75">
      <c r="B45" s="48"/>
      <c r="C45" s="48" t="s">
        <v>354</v>
      </c>
      <c r="D45" s="297" t="s">
        <v>103</v>
      </c>
      <c r="E45" s="54">
        <v>1197862</v>
      </c>
      <c r="F45" s="54">
        <v>304784</v>
      </c>
      <c r="G45" s="169">
        <f t="shared" si="0"/>
        <v>893078</v>
      </c>
      <c r="H45" s="157" t="s">
        <v>441</v>
      </c>
      <c r="I45" s="95">
        <v>2404490</v>
      </c>
    </row>
    <row r="46" spans="2:9" s="27" customFormat="1" ht="12.75">
      <c r="B46" s="48"/>
      <c r="C46" s="48" t="s">
        <v>355</v>
      </c>
      <c r="D46" s="297" t="s">
        <v>103</v>
      </c>
      <c r="E46" s="54">
        <v>1083950</v>
      </c>
      <c r="F46" s="54">
        <v>1074486</v>
      </c>
      <c r="G46" s="169">
        <f t="shared" si="0"/>
        <v>9464</v>
      </c>
      <c r="H46" s="157" t="s">
        <v>441</v>
      </c>
      <c r="I46" s="95">
        <v>111948</v>
      </c>
    </row>
    <row r="47" spans="2:9" s="27" customFormat="1" ht="12.75">
      <c r="B47" s="48"/>
      <c r="C47" s="168" t="s">
        <v>611</v>
      </c>
      <c r="D47" s="300" t="s">
        <v>103</v>
      </c>
      <c r="E47" s="54"/>
      <c r="F47" s="54"/>
      <c r="G47" s="169">
        <v>0</v>
      </c>
      <c r="H47" s="157"/>
      <c r="I47" s="95">
        <v>169116</v>
      </c>
    </row>
    <row r="48" spans="2:9" s="27" customFormat="1" ht="12.75">
      <c r="B48" s="48">
        <v>101</v>
      </c>
      <c r="C48" s="48" t="s">
        <v>346</v>
      </c>
      <c r="D48" s="297"/>
      <c r="E48" s="54"/>
      <c r="F48" s="54"/>
      <c r="G48" s="169"/>
      <c r="H48" s="157" t="s">
        <v>148</v>
      </c>
      <c r="I48" s="95"/>
    </row>
    <row r="49" spans="2:9" s="27" customFormat="1" ht="12.75">
      <c r="B49" s="48"/>
      <c r="C49" s="48" t="s">
        <v>356</v>
      </c>
      <c r="D49" s="297" t="s">
        <v>288</v>
      </c>
      <c r="E49" s="54">
        <v>298040</v>
      </c>
      <c r="F49" s="54">
        <v>220908</v>
      </c>
      <c r="G49" s="169">
        <f t="shared" si="0"/>
        <v>77132</v>
      </c>
      <c r="H49" s="157" t="s">
        <v>441</v>
      </c>
      <c r="I49" s="95">
        <v>114838</v>
      </c>
    </row>
    <row r="50" spans="2:9" s="27" customFormat="1" ht="12.6" customHeight="1">
      <c r="B50" s="48"/>
      <c r="C50" s="171" t="s">
        <v>167</v>
      </c>
      <c r="D50" s="297" t="s">
        <v>103</v>
      </c>
      <c r="E50" s="172">
        <v>1009537</v>
      </c>
      <c r="F50" s="172">
        <v>1221979</v>
      </c>
      <c r="G50" s="169">
        <f t="shared" si="0"/>
        <v>-212442</v>
      </c>
      <c r="H50" s="157" t="s">
        <v>441</v>
      </c>
      <c r="I50" s="95">
        <v>-178443</v>
      </c>
    </row>
    <row r="51" spans="2:9" s="27" customFormat="1" ht="12.6" customHeight="1">
      <c r="B51" s="48"/>
      <c r="C51" s="171" t="s">
        <v>168</v>
      </c>
      <c r="D51" s="297" t="s">
        <v>103</v>
      </c>
      <c r="E51" s="172">
        <v>1076163</v>
      </c>
      <c r="F51" s="172">
        <v>485676</v>
      </c>
      <c r="G51" s="169">
        <v>250000</v>
      </c>
      <c r="H51" s="157" t="s">
        <v>441</v>
      </c>
      <c r="I51" s="95">
        <v>257753</v>
      </c>
    </row>
    <row r="52" spans="2:10" s="27" customFormat="1" ht="12.6" customHeight="1">
      <c r="B52" s="48"/>
      <c r="C52" s="48" t="s">
        <v>169</v>
      </c>
      <c r="D52" s="297" t="s">
        <v>103</v>
      </c>
      <c r="E52" s="54">
        <v>1728606</v>
      </c>
      <c r="F52" s="54">
        <v>1283940</v>
      </c>
      <c r="G52" s="169">
        <f t="shared" si="0"/>
        <v>444666</v>
      </c>
      <c r="H52" s="157" t="s">
        <v>441</v>
      </c>
      <c r="I52" s="95">
        <v>315196</v>
      </c>
      <c r="J52" s="34"/>
    </row>
    <row r="53" spans="2:9" s="27" customFormat="1" ht="12.6" customHeight="1">
      <c r="B53" s="48"/>
      <c r="C53" s="171" t="s">
        <v>177</v>
      </c>
      <c r="D53" s="297" t="s">
        <v>103</v>
      </c>
      <c r="E53" s="54">
        <v>168170</v>
      </c>
      <c r="F53" s="54">
        <v>60208</v>
      </c>
      <c r="G53" s="169">
        <f t="shared" si="0"/>
        <v>107962</v>
      </c>
      <c r="H53" s="157" t="s">
        <v>441</v>
      </c>
      <c r="I53" s="95">
        <v>227024</v>
      </c>
    </row>
    <row r="54" spans="2:9" s="27" customFormat="1" ht="12.6" customHeight="1">
      <c r="B54" s="48"/>
      <c r="C54" s="48" t="s">
        <v>133</v>
      </c>
      <c r="D54" s="297" t="s">
        <v>103</v>
      </c>
      <c r="E54" s="54">
        <v>139630</v>
      </c>
      <c r="F54" s="54">
        <v>109115</v>
      </c>
      <c r="G54" s="169">
        <f t="shared" si="0"/>
        <v>30515</v>
      </c>
      <c r="H54" s="157" t="s">
        <v>441</v>
      </c>
      <c r="I54" s="95">
        <v>61601</v>
      </c>
    </row>
    <row r="55" spans="2:9" s="27" customFormat="1" ht="12.6" customHeight="1">
      <c r="B55" s="48"/>
      <c r="C55" s="48" t="s">
        <v>134</v>
      </c>
      <c r="D55" s="297" t="s">
        <v>103</v>
      </c>
      <c r="E55" s="54">
        <v>83700</v>
      </c>
      <c r="F55" s="54">
        <v>23810</v>
      </c>
      <c r="G55" s="169">
        <f t="shared" si="0"/>
        <v>59890</v>
      </c>
      <c r="H55" s="157" t="s">
        <v>441</v>
      </c>
      <c r="I55" s="95">
        <v>97141</v>
      </c>
    </row>
    <row r="56" spans="2:9" s="27" customFormat="1" ht="12.6" customHeight="1">
      <c r="B56" s="48"/>
      <c r="C56" s="48" t="s">
        <v>200</v>
      </c>
      <c r="D56" s="297" t="s">
        <v>103</v>
      </c>
      <c r="E56" s="54">
        <v>193272</v>
      </c>
      <c r="F56" s="54">
        <v>24000</v>
      </c>
      <c r="G56" s="169">
        <f t="shared" si="0"/>
        <v>169272</v>
      </c>
      <c r="H56" s="157" t="s">
        <v>441</v>
      </c>
      <c r="I56" s="95">
        <v>193272</v>
      </c>
    </row>
    <row r="57" spans="2:9" s="27" customFormat="1" ht="12.6" customHeight="1">
      <c r="B57" s="48"/>
      <c r="C57" s="48" t="s">
        <v>432</v>
      </c>
      <c r="D57" s="297" t="s">
        <v>103</v>
      </c>
      <c r="E57" s="54">
        <v>196820</v>
      </c>
      <c r="F57" s="54">
        <v>317179</v>
      </c>
      <c r="G57" s="169">
        <f t="shared" si="0"/>
        <v>-120359</v>
      </c>
      <c r="H57" s="157" t="s">
        <v>441</v>
      </c>
      <c r="I57" s="95">
        <v>0</v>
      </c>
    </row>
    <row r="58" spans="2:9" s="27" customFormat="1" ht="12.6" customHeight="1">
      <c r="B58" s="48"/>
      <c r="C58" s="168" t="s">
        <v>611</v>
      </c>
      <c r="D58" s="300" t="s">
        <v>103</v>
      </c>
      <c r="E58" s="54"/>
      <c r="F58" s="54"/>
      <c r="G58" s="169">
        <v>0</v>
      </c>
      <c r="H58" s="157"/>
      <c r="I58" s="95">
        <f>130827+106317-42208</f>
        <v>194936</v>
      </c>
    </row>
    <row r="59" spans="2:9" s="27" customFormat="1" ht="12.6" customHeight="1">
      <c r="B59" s="48">
        <v>102</v>
      </c>
      <c r="C59" s="48" t="s">
        <v>347</v>
      </c>
      <c r="D59" s="297"/>
      <c r="E59" s="54"/>
      <c r="F59" s="54"/>
      <c r="G59" s="169"/>
      <c r="H59" s="157" t="s">
        <v>148</v>
      </c>
      <c r="I59" s="95"/>
    </row>
    <row r="60" spans="2:9" s="27" customFormat="1" ht="12.6" customHeight="1">
      <c r="B60" s="48"/>
      <c r="C60" s="48" t="s">
        <v>175</v>
      </c>
      <c r="D60" s="301" t="s">
        <v>348</v>
      </c>
      <c r="E60" s="54">
        <v>28365998</v>
      </c>
      <c r="F60" s="54">
        <v>27559926</v>
      </c>
      <c r="G60" s="169">
        <f t="shared" si="0"/>
        <v>806072</v>
      </c>
      <c r="H60" s="157" t="s">
        <v>441</v>
      </c>
      <c r="I60" s="95">
        <v>-202275</v>
      </c>
    </row>
    <row r="61" spans="2:9" s="27" customFormat="1" ht="12.6" customHeight="1">
      <c r="B61" s="48"/>
      <c r="C61" s="171" t="s">
        <v>170</v>
      </c>
      <c r="D61" s="301" t="s">
        <v>348</v>
      </c>
      <c r="E61" s="172">
        <v>4213235</v>
      </c>
      <c r="F61" s="172">
        <v>4216477</v>
      </c>
      <c r="G61" s="169">
        <f t="shared" si="0"/>
        <v>-3242</v>
      </c>
      <c r="H61" s="157" t="s">
        <v>441</v>
      </c>
      <c r="I61" s="95">
        <v>21471</v>
      </c>
    </row>
    <row r="62" spans="2:9" s="27" customFormat="1" ht="12.6" customHeight="1">
      <c r="B62" s="48"/>
      <c r="C62" s="48" t="s">
        <v>171</v>
      </c>
      <c r="D62" s="301" t="s">
        <v>348</v>
      </c>
      <c r="E62" s="54">
        <v>2348000</v>
      </c>
      <c r="F62" s="54">
        <v>2642068</v>
      </c>
      <c r="G62" s="169">
        <f t="shared" si="0"/>
        <v>-294068</v>
      </c>
      <c r="H62" s="157" t="s">
        <v>441</v>
      </c>
      <c r="I62" s="95">
        <v>599799</v>
      </c>
    </row>
    <row r="63" spans="2:10" s="27" customFormat="1" ht="12.6" customHeight="1">
      <c r="B63" s="48"/>
      <c r="C63" s="48" t="s">
        <v>172</v>
      </c>
      <c r="D63" s="301" t="s">
        <v>348</v>
      </c>
      <c r="E63" s="54">
        <v>3042015</v>
      </c>
      <c r="F63" s="54">
        <v>3613365</v>
      </c>
      <c r="G63" s="169">
        <f t="shared" si="0"/>
        <v>-571350</v>
      </c>
      <c r="H63" s="157" t="s">
        <v>441</v>
      </c>
      <c r="I63" s="95">
        <v>-77670</v>
      </c>
      <c r="J63" s="34"/>
    </row>
    <row r="64" spans="2:9" s="27" customFormat="1" ht="12.6" customHeight="1">
      <c r="B64" s="48"/>
      <c r="C64" s="48" t="s">
        <v>173</v>
      </c>
      <c r="D64" s="301" t="s">
        <v>348</v>
      </c>
      <c r="E64" s="54">
        <v>-1355390</v>
      </c>
      <c r="F64" s="54">
        <v>-1912927</v>
      </c>
      <c r="G64" s="169">
        <f t="shared" si="0"/>
        <v>557537</v>
      </c>
      <c r="H64" s="157" t="s">
        <v>441</v>
      </c>
      <c r="I64" s="95">
        <v>43049</v>
      </c>
    </row>
    <row r="65" spans="2:9" s="27" customFormat="1" ht="12.6" customHeight="1">
      <c r="B65" s="48"/>
      <c r="C65" s="48" t="s">
        <v>168</v>
      </c>
      <c r="D65" s="301" t="s">
        <v>348</v>
      </c>
      <c r="E65" s="54">
        <v>1407493</v>
      </c>
      <c r="F65" s="54">
        <v>1479607</v>
      </c>
      <c r="G65" s="169">
        <f t="shared" si="0"/>
        <v>-72114</v>
      </c>
      <c r="H65" s="157" t="s">
        <v>441</v>
      </c>
      <c r="I65" s="95">
        <v>-1451</v>
      </c>
    </row>
    <row r="66" spans="2:9" s="27" customFormat="1" ht="12.6" customHeight="1">
      <c r="B66" s="48"/>
      <c r="C66" s="48" t="s">
        <v>174</v>
      </c>
      <c r="D66" s="301" t="s">
        <v>348</v>
      </c>
      <c r="E66" s="54">
        <v>24850</v>
      </c>
      <c r="F66" s="54">
        <v>0</v>
      </c>
      <c r="G66" s="169">
        <f t="shared" si="0"/>
        <v>24850</v>
      </c>
      <c r="H66" s="157" t="s">
        <v>441</v>
      </c>
      <c r="I66" s="95">
        <v>24570</v>
      </c>
    </row>
    <row r="67" spans="2:9" s="27" customFormat="1" ht="12.6" customHeight="1">
      <c r="B67" s="48"/>
      <c r="C67" s="48" t="s">
        <v>357</v>
      </c>
      <c r="D67" s="301" t="s">
        <v>69</v>
      </c>
      <c r="E67" s="54">
        <v>1824038</v>
      </c>
      <c r="F67" s="54">
        <v>1188934</v>
      </c>
      <c r="G67" s="169">
        <f t="shared" si="0"/>
        <v>635104</v>
      </c>
      <c r="H67" s="157" t="s">
        <v>441</v>
      </c>
      <c r="I67" s="95">
        <v>383558</v>
      </c>
    </row>
    <row r="68" spans="2:9" s="27" customFormat="1" ht="12.6" customHeight="1">
      <c r="B68" s="48">
        <v>103</v>
      </c>
      <c r="C68" s="48" t="s">
        <v>106</v>
      </c>
      <c r="D68" s="297"/>
      <c r="E68" s="54"/>
      <c r="F68" s="54"/>
      <c r="G68" s="169"/>
      <c r="H68" s="157" t="s">
        <v>148</v>
      </c>
      <c r="I68" s="95"/>
    </row>
    <row r="69" spans="2:9" s="27" customFormat="1" ht="12.75">
      <c r="B69" s="48"/>
      <c r="C69" s="171" t="s">
        <v>176</v>
      </c>
      <c r="D69" s="301" t="s">
        <v>103</v>
      </c>
      <c r="E69" s="54">
        <v>1043960</v>
      </c>
      <c r="F69" s="54">
        <v>128337</v>
      </c>
      <c r="G69" s="169">
        <f t="shared" si="0"/>
        <v>915623</v>
      </c>
      <c r="H69" s="157" t="s">
        <v>441</v>
      </c>
      <c r="I69" s="95">
        <v>1043960</v>
      </c>
    </row>
    <row r="70" spans="2:9" s="27" customFormat="1" ht="12.75">
      <c r="B70" s="48"/>
      <c r="C70" s="48" t="s">
        <v>358</v>
      </c>
      <c r="D70" s="297" t="s">
        <v>103</v>
      </c>
      <c r="E70" s="54">
        <v>1175900</v>
      </c>
      <c r="F70" s="54">
        <v>0</v>
      </c>
      <c r="G70" s="169">
        <f t="shared" si="0"/>
        <v>1175900</v>
      </c>
      <c r="H70" s="157" t="s">
        <v>441</v>
      </c>
      <c r="I70" s="95">
        <v>2172900</v>
      </c>
    </row>
    <row r="71" spans="2:9" s="27" customFormat="1" ht="12.75">
      <c r="B71" s="116"/>
      <c r="C71" s="48" t="s">
        <v>107</v>
      </c>
      <c r="D71" s="297" t="s">
        <v>126</v>
      </c>
      <c r="E71" s="54">
        <v>2364238</v>
      </c>
      <c r="F71" s="54">
        <v>-539200</v>
      </c>
      <c r="G71" s="169">
        <f t="shared" si="0"/>
        <v>2903438</v>
      </c>
      <c r="H71" s="157" t="s">
        <v>441</v>
      </c>
      <c r="I71" s="95">
        <v>2971128</v>
      </c>
    </row>
    <row r="72" spans="2:9" s="27" customFormat="1" ht="12.75">
      <c r="B72" s="116"/>
      <c r="C72" s="168" t="s">
        <v>611</v>
      </c>
      <c r="D72" s="297"/>
      <c r="E72" s="54"/>
      <c r="F72" s="54"/>
      <c r="G72" s="169">
        <v>0</v>
      </c>
      <c r="H72" s="157"/>
      <c r="I72" s="95">
        <f>105300+264239</f>
        <v>369539</v>
      </c>
    </row>
    <row r="73" spans="2:9" s="27" customFormat="1" ht="12.75">
      <c r="B73" s="48">
        <v>104</v>
      </c>
      <c r="C73" s="48" t="s">
        <v>349</v>
      </c>
      <c r="D73" s="297"/>
      <c r="E73" s="54"/>
      <c r="F73" s="54"/>
      <c r="G73" s="169"/>
      <c r="H73" s="157"/>
      <c r="I73" s="95"/>
    </row>
    <row r="74" spans="2:9" s="27" customFormat="1" ht="12.75">
      <c r="B74" s="48"/>
      <c r="C74" s="56" t="s">
        <v>359</v>
      </c>
      <c r="D74" s="297" t="s">
        <v>103</v>
      </c>
      <c r="E74" s="54">
        <v>215180</v>
      </c>
      <c r="F74" s="54">
        <v>217216</v>
      </c>
      <c r="G74" s="169">
        <f t="shared" si="0"/>
        <v>-2036</v>
      </c>
      <c r="H74" s="157" t="s">
        <v>441</v>
      </c>
      <c r="I74" s="95">
        <v>14340</v>
      </c>
    </row>
    <row r="75" spans="2:9" s="27" customFormat="1" ht="25.5">
      <c r="B75" s="48"/>
      <c r="C75" s="56" t="s">
        <v>179</v>
      </c>
      <c r="D75" s="297" t="s">
        <v>103</v>
      </c>
      <c r="E75" s="54">
        <v>776152</v>
      </c>
      <c r="F75" s="54">
        <v>111884</v>
      </c>
      <c r="G75" s="169">
        <f t="shared" si="0"/>
        <v>664268</v>
      </c>
      <c r="H75" s="157" t="s">
        <v>441</v>
      </c>
      <c r="I75" s="95">
        <v>776152</v>
      </c>
    </row>
    <row r="76" spans="2:9" s="27" customFormat="1" ht="12.75">
      <c r="B76" s="48"/>
      <c r="C76" s="48" t="s">
        <v>149</v>
      </c>
      <c r="D76" s="297" t="s">
        <v>103</v>
      </c>
      <c r="E76" s="54">
        <v>638490</v>
      </c>
      <c r="F76" s="54">
        <v>367984</v>
      </c>
      <c r="G76" s="169">
        <f t="shared" si="0"/>
        <v>270506</v>
      </c>
      <c r="H76" s="157" t="s">
        <v>441</v>
      </c>
      <c r="I76" s="95">
        <v>281600</v>
      </c>
    </row>
    <row r="77" spans="2:9" s="27" customFormat="1" ht="12.75">
      <c r="B77" s="48"/>
      <c r="C77" s="48" t="s">
        <v>360</v>
      </c>
      <c r="D77" s="297" t="s">
        <v>103</v>
      </c>
      <c r="E77" s="54">
        <v>-26000</v>
      </c>
      <c r="F77" s="54">
        <v>15437</v>
      </c>
      <c r="G77" s="169">
        <f t="shared" si="0"/>
        <v>-41437</v>
      </c>
      <c r="H77" s="157" t="s">
        <v>441</v>
      </c>
      <c r="I77" s="95">
        <v>-26000</v>
      </c>
    </row>
    <row r="78" spans="2:9" s="27" customFormat="1" ht="12.75">
      <c r="B78" s="48"/>
      <c r="C78" s="48" t="s">
        <v>180</v>
      </c>
      <c r="D78" s="297" t="s">
        <v>103</v>
      </c>
      <c r="E78" s="54">
        <v>231018</v>
      </c>
      <c r="F78" s="54">
        <v>35815</v>
      </c>
      <c r="G78" s="169">
        <f t="shared" si="0"/>
        <v>195203</v>
      </c>
      <c r="H78" s="157" t="s">
        <v>441</v>
      </c>
      <c r="I78" s="95">
        <v>151748</v>
      </c>
    </row>
    <row r="79" spans="2:9" s="27" customFormat="1" ht="12.75">
      <c r="B79" s="48"/>
      <c r="C79" s="48" t="s">
        <v>433</v>
      </c>
      <c r="D79" s="297" t="s">
        <v>103</v>
      </c>
      <c r="E79" s="54">
        <v>183000</v>
      </c>
      <c r="F79" s="54">
        <v>184267</v>
      </c>
      <c r="G79" s="169">
        <f t="shared" si="0"/>
        <v>-1267</v>
      </c>
      <c r="H79" s="157" t="s">
        <v>441</v>
      </c>
      <c r="I79" s="95">
        <v>0</v>
      </c>
    </row>
    <row r="80" spans="2:9" s="27" customFormat="1" ht="12.75">
      <c r="B80" s="48"/>
      <c r="C80" s="48" t="s">
        <v>109</v>
      </c>
      <c r="D80" s="297" t="s">
        <v>111</v>
      </c>
      <c r="E80" s="54">
        <v>-4920985</v>
      </c>
      <c r="F80" s="54">
        <v>0</v>
      </c>
      <c r="G80" s="169">
        <f t="shared" si="0"/>
        <v>-4920985</v>
      </c>
      <c r="H80" s="157" t="s">
        <v>441</v>
      </c>
      <c r="I80" s="95">
        <v>-1651376</v>
      </c>
    </row>
    <row r="81" spans="2:9" s="27" customFormat="1" ht="12.75">
      <c r="B81" s="48"/>
      <c r="C81" s="48" t="s">
        <v>110</v>
      </c>
      <c r="D81" s="297" t="s">
        <v>111</v>
      </c>
      <c r="E81" s="54">
        <v>4907148</v>
      </c>
      <c r="F81" s="54">
        <v>0</v>
      </c>
      <c r="G81" s="169">
        <f t="shared" si="0"/>
        <v>4907148</v>
      </c>
      <c r="H81" s="157" t="s">
        <v>441</v>
      </c>
      <c r="I81" s="95">
        <v>3756935</v>
      </c>
    </row>
    <row r="82" spans="2:9" s="27" customFormat="1" ht="12.75">
      <c r="B82" s="48"/>
      <c r="C82" s="168" t="s">
        <v>611</v>
      </c>
      <c r="D82" s="297"/>
      <c r="E82" s="54"/>
      <c r="F82" s="54"/>
      <c r="G82" s="169">
        <v>0</v>
      </c>
      <c r="H82" s="157"/>
      <c r="I82" s="95">
        <v>75000</v>
      </c>
    </row>
    <row r="83" spans="2:9" s="27" customFormat="1" ht="12.75">
      <c r="B83" s="48">
        <v>105</v>
      </c>
      <c r="C83" s="48" t="s">
        <v>350</v>
      </c>
      <c r="D83" s="297"/>
      <c r="E83" s="54"/>
      <c r="F83" s="54"/>
      <c r="G83" s="169"/>
      <c r="H83" s="157" t="s">
        <v>148</v>
      </c>
      <c r="I83" s="95"/>
    </row>
    <row r="84" spans="2:9" s="27" customFormat="1" ht="12.75">
      <c r="B84" s="48"/>
      <c r="C84" s="48" t="s">
        <v>364</v>
      </c>
      <c r="D84" s="297" t="s">
        <v>103</v>
      </c>
      <c r="E84" s="54">
        <v>57275</v>
      </c>
      <c r="F84" s="54">
        <v>-27174</v>
      </c>
      <c r="G84" s="169">
        <f aca="true" t="shared" si="1" ref="G84:G117">E84-F84</f>
        <v>84449</v>
      </c>
      <c r="H84" s="157" t="s">
        <v>441</v>
      </c>
      <c r="I84" s="95">
        <v>0</v>
      </c>
    </row>
    <row r="85" spans="2:9" s="27" customFormat="1" ht="12.75">
      <c r="B85" s="48">
        <v>111</v>
      </c>
      <c r="C85" s="48" t="s">
        <v>361</v>
      </c>
      <c r="D85" s="297"/>
      <c r="E85" s="54"/>
      <c r="F85" s="54"/>
      <c r="G85" s="169"/>
      <c r="H85" s="157" t="s">
        <v>148</v>
      </c>
      <c r="I85" s="95"/>
    </row>
    <row r="86" spans="2:9" s="27" customFormat="1" ht="12.75">
      <c r="B86" s="48"/>
      <c r="C86" s="48" t="s">
        <v>257</v>
      </c>
      <c r="D86" s="297" t="s">
        <v>288</v>
      </c>
      <c r="E86" s="54">
        <v>37124</v>
      </c>
      <c r="F86" s="54">
        <v>66438</v>
      </c>
      <c r="G86" s="169">
        <f t="shared" si="1"/>
        <v>-29314</v>
      </c>
      <c r="H86" s="157" t="s">
        <v>441</v>
      </c>
      <c r="I86" s="95">
        <v>18544</v>
      </c>
    </row>
    <row r="87" spans="2:9" s="27" customFormat="1" ht="12.75">
      <c r="B87" s="48"/>
      <c r="C87" s="48" t="s">
        <v>434</v>
      </c>
      <c r="D87" s="297" t="s">
        <v>435</v>
      </c>
      <c r="E87" s="54">
        <v>195000</v>
      </c>
      <c r="F87" s="54">
        <v>74831</v>
      </c>
      <c r="G87" s="169">
        <f>E87-F87</f>
        <v>120169</v>
      </c>
      <c r="H87" s="157" t="s">
        <v>441</v>
      </c>
      <c r="I87" s="95">
        <v>0</v>
      </c>
    </row>
    <row r="88" spans="2:9" s="27" customFormat="1" ht="12.75">
      <c r="B88" s="48"/>
      <c r="C88" s="168" t="s">
        <v>611</v>
      </c>
      <c r="D88" s="297"/>
      <c r="E88" s="54"/>
      <c r="F88" s="54"/>
      <c r="G88" s="169">
        <v>0</v>
      </c>
      <c r="H88" s="157"/>
      <c r="I88" s="95">
        <v>3810</v>
      </c>
    </row>
    <row r="89" spans="2:9" s="27" customFormat="1" ht="12.75">
      <c r="B89" s="48">
        <v>401</v>
      </c>
      <c r="C89" s="48" t="s">
        <v>351</v>
      </c>
      <c r="D89" s="297"/>
      <c r="E89" s="54"/>
      <c r="F89" s="54"/>
      <c r="G89" s="169"/>
      <c r="H89" s="157" t="s">
        <v>148</v>
      </c>
      <c r="I89" s="95"/>
    </row>
    <row r="90" spans="2:18" ht="12.75">
      <c r="B90" s="48"/>
      <c r="C90" s="48" t="s">
        <v>364</v>
      </c>
      <c r="D90" s="297" t="s">
        <v>289</v>
      </c>
      <c r="E90" s="54">
        <v>0</v>
      </c>
      <c r="F90" s="54">
        <v>-22672</v>
      </c>
      <c r="G90" s="169">
        <f t="shared" si="1"/>
        <v>22672</v>
      </c>
      <c r="H90" s="157" t="s">
        <v>441</v>
      </c>
      <c r="I90" s="95">
        <v>57275</v>
      </c>
      <c r="R90" s="27"/>
    </row>
    <row r="91" spans="2:18" s="131" customFormat="1" ht="12.75">
      <c r="B91" s="48"/>
      <c r="C91" s="168" t="s">
        <v>611</v>
      </c>
      <c r="D91" s="297"/>
      <c r="E91" s="54"/>
      <c r="F91" s="54"/>
      <c r="G91" s="169">
        <v>0</v>
      </c>
      <c r="H91" s="157"/>
      <c r="I91" s="95">
        <v>58801</v>
      </c>
      <c r="R91" s="27"/>
    </row>
    <row r="92" spans="2:18" ht="12.75">
      <c r="B92" s="48">
        <v>502</v>
      </c>
      <c r="C92" s="48" t="s">
        <v>64</v>
      </c>
      <c r="D92" s="297"/>
      <c r="E92" s="54"/>
      <c r="F92" s="54"/>
      <c r="G92" s="169"/>
      <c r="H92" s="157" t="s">
        <v>148</v>
      </c>
      <c r="I92" s="95"/>
      <c r="R92" s="27"/>
    </row>
    <row r="93" spans="2:18" ht="12.75">
      <c r="B93" s="48"/>
      <c r="C93" s="48" t="s">
        <v>259</v>
      </c>
      <c r="D93" s="297" t="s">
        <v>255</v>
      </c>
      <c r="E93" s="54">
        <v>8124092</v>
      </c>
      <c r="F93" s="54">
        <f>7915462+545491</f>
        <v>8460953</v>
      </c>
      <c r="G93" s="169">
        <f t="shared" si="1"/>
        <v>-336861</v>
      </c>
      <c r="H93" s="157" t="s">
        <v>441</v>
      </c>
      <c r="I93" s="95">
        <v>176047</v>
      </c>
      <c r="R93" s="27"/>
    </row>
    <row r="94" spans="2:18" ht="12.75">
      <c r="B94" s="48"/>
      <c r="C94" s="48" t="s">
        <v>256</v>
      </c>
      <c r="D94" s="297" t="s">
        <v>255</v>
      </c>
      <c r="E94" s="54">
        <v>2643986</v>
      </c>
      <c r="F94" s="54">
        <f>2471245+41960</f>
        <v>2513205</v>
      </c>
      <c r="G94" s="169">
        <f t="shared" si="1"/>
        <v>130781</v>
      </c>
      <c r="H94" s="157" t="s">
        <v>441</v>
      </c>
      <c r="I94" s="95">
        <v>134832</v>
      </c>
      <c r="R94" s="27"/>
    </row>
    <row r="95" spans="2:18" ht="12.75">
      <c r="B95" s="48"/>
      <c r="C95" s="48" t="s">
        <v>260</v>
      </c>
      <c r="D95" s="297" t="s">
        <v>103</v>
      </c>
      <c r="E95" s="54">
        <v>1262114</v>
      </c>
      <c r="F95" s="54">
        <v>1093900</v>
      </c>
      <c r="G95" s="169">
        <f t="shared" si="1"/>
        <v>168214</v>
      </c>
      <c r="H95" s="157" t="s">
        <v>441</v>
      </c>
      <c r="I95" s="95">
        <v>192126</v>
      </c>
      <c r="R95" s="27"/>
    </row>
    <row r="96" spans="2:18" s="27" customFormat="1" ht="12.75">
      <c r="B96" s="48"/>
      <c r="C96" s="48" t="s">
        <v>365</v>
      </c>
      <c r="D96" s="297" t="s">
        <v>103</v>
      </c>
      <c r="E96" s="54">
        <v>-963646</v>
      </c>
      <c r="F96" s="54">
        <v>-1835334</v>
      </c>
      <c r="G96" s="169">
        <f t="shared" si="1"/>
        <v>871688</v>
      </c>
      <c r="H96" s="157" t="s">
        <v>441</v>
      </c>
      <c r="I96" s="95">
        <v>-294435</v>
      </c>
      <c r="R96"/>
    </row>
    <row r="97" spans="2:18" s="27" customFormat="1" ht="12.75">
      <c r="B97" s="48"/>
      <c r="C97" s="48" t="s">
        <v>201</v>
      </c>
      <c r="D97" s="297" t="s">
        <v>103</v>
      </c>
      <c r="E97" s="54">
        <v>35000</v>
      </c>
      <c r="F97" s="54">
        <v>0</v>
      </c>
      <c r="G97" s="169">
        <f t="shared" si="1"/>
        <v>35000</v>
      </c>
      <c r="H97" s="157" t="s">
        <v>441</v>
      </c>
      <c r="I97" s="95">
        <v>35000</v>
      </c>
      <c r="R97"/>
    </row>
    <row r="98" spans="2:18" s="27" customFormat="1" ht="12.75">
      <c r="B98" s="48"/>
      <c r="C98" s="168" t="s">
        <v>611</v>
      </c>
      <c r="D98" s="297"/>
      <c r="E98" s="54"/>
      <c r="F98" s="54"/>
      <c r="G98" s="169">
        <v>0</v>
      </c>
      <c r="H98" s="157"/>
      <c r="I98" s="95">
        <f>-47325+164471</f>
        <v>117146</v>
      </c>
      <c r="R98" s="131"/>
    </row>
    <row r="99" spans="2:9" s="27" customFormat="1" ht="12.75">
      <c r="B99" s="48">
        <v>504</v>
      </c>
      <c r="C99" s="57" t="s">
        <v>70</v>
      </c>
      <c r="D99" s="297"/>
      <c r="E99" s="54"/>
      <c r="F99" s="54"/>
      <c r="G99" s="169"/>
      <c r="H99" s="157" t="s">
        <v>148</v>
      </c>
      <c r="I99" s="95"/>
    </row>
    <row r="100" spans="2:9" s="27" customFormat="1" ht="12.75">
      <c r="B100" s="48"/>
      <c r="C100" s="48" t="s">
        <v>366</v>
      </c>
      <c r="D100" s="297" t="s">
        <v>103</v>
      </c>
      <c r="E100" s="54">
        <v>0</v>
      </c>
      <c r="F100" s="54">
        <v>406752</v>
      </c>
      <c r="G100" s="169">
        <f t="shared" si="1"/>
        <v>-406752</v>
      </c>
      <c r="H100" s="157" t="s">
        <v>441</v>
      </c>
      <c r="I100" s="95">
        <v>-456137</v>
      </c>
    </row>
    <row r="101" spans="2:9" s="27" customFormat="1" ht="12.75">
      <c r="B101" s="48"/>
      <c r="C101" s="48" t="s">
        <v>367</v>
      </c>
      <c r="D101" s="297" t="s">
        <v>103</v>
      </c>
      <c r="E101" s="54">
        <v>514262</v>
      </c>
      <c r="F101" s="54">
        <v>35294</v>
      </c>
      <c r="G101" s="169">
        <f t="shared" si="1"/>
        <v>478968</v>
      </c>
      <c r="H101" s="157" t="s">
        <v>441</v>
      </c>
      <c r="I101" s="95">
        <v>453369</v>
      </c>
    </row>
    <row r="102" spans="2:9" s="27" customFormat="1" ht="12.75">
      <c r="B102" s="48"/>
      <c r="C102" s="48" t="s">
        <v>362</v>
      </c>
      <c r="D102" s="297"/>
      <c r="E102" s="54">
        <v>477019</v>
      </c>
      <c r="F102" s="54">
        <v>164268</v>
      </c>
      <c r="G102" s="169">
        <f t="shared" si="1"/>
        <v>312751</v>
      </c>
      <c r="H102" s="157" t="s">
        <v>441</v>
      </c>
      <c r="I102" s="95">
        <v>56352</v>
      </c>
    </row>
    <row r="103" spans="2:9" s="27" customFormat="1" ht="12.75">
      <c r="B103" s="48"/>
      <c r="C103" s="48" t="s">
        <v>363</v>
      </c>
      <c r="D103" s="297"/>
      <c r="E103" s="54">
        <v>63737</v>
      </c>
      <c r="F103" s="54">
        <v>42938</v>
      </c>
      <c r="G103" s="169">
        <f t="shared" si="1"/>
        <v>20799</v>
      </c>
      <c r="H103" s="157" t="s">
        <v>441</v>
      </c>
      <c r="I103" s="95">
        <v>63737</v>
      </c>
    </row>
    <row r="104" spans="2:9" s="27" customFormat="1" ht="12.75">
      <c r="B104" s="48"/>
      <c r="C104" s="48" t="s">
        <v>436</v>
      </c>
      <c r="D104" s="297"/>
      <c r="E104" s="54">
        <v>618500</v>
      </c>
      <c r="F104" s="54">
        <v>600675</v>
      </c>
      <c r="G104" s="169">
        <f t="shared" si="1"/>
        <v>17825</v>
      </c>
      <c r="H104" s="157" t="s">
        <v>441</v>
      </c>
      <c r="I104" s="95">
        <v>-120050</v>
      </c>
    </row>
    <row r="105" spans="2:9" s="27" customFormat="1" ht="12.75">
      <c r="B105" s="48"/>
      <c r="C105" s="48" t="s">
        <v>437</v>
      </c>
      <c r="D105" s="297" t="s">
        <v>438</v>
      </c>
      <c r="E105" s="54">
        <v>0</v>
      </c>
      <c r="F105" s="54">
        <v>159911</v>
      </c>
      <c r="G105" s="169">
        <f t="shared" si="1"/>
        <v>-159911</v>
      </c>
      <c r="H105" s="157" t="s">
        <v>441</v>
      </c>
      <c r="I105" s="95"/>
    </row>
    <row r="106" spans="2:9" s="27" customFormat="1" ht="12.75">
      <c r="B106" s="48"/>
      <c r="C106" s="48" t="s">
        <v>439</v>
      </c>
      <c r="D106" s="297" t="s">
        <v>438</v>
      </c>
      <c r="E106" s="54">
        <v>1000000</v>
      </c>
      <c r="F106" s="54">
        <v>32150</v>
      </c>
      <c r="G106" s="169">
        <f t="shared" si="1"/>
        <v>967850</v>
      </c>
      <c r="H106" s="157" t="s">
        <v>441</v>
      </c>
      <c r="I106" s="95"/>
    </row>
    <row r="107" spans="2:9" s="27" customFormat="1" ht="12.75">
      <c r="B107" s="48"/>
      <c r="C107" s="48" t="s">
        <v>258</v>
      </c>
      <c r="D107" s="297" t="s">
        <v>438</v>
      </c>
      <c r="E107" s="54">
        <v>560078</v>
      </c>
      <c r="F107" s="54">
        <v>413882</v>
      </c>
      <c r="G107" s="169">
        <f t="shared" si="1"/>
        <v>146196</v>
      </c>
      <c r="H107" s="157" t="s">
        <v>441</v>
      </c>
      <c r="I107" s="95">
        <v>62858</v>
      </c>
    </row>
    <row r="108" spans="2:9" s="27" customFormat="1" ht="12.75">
      <c r="B108" s="48"/>
      <c r="C108" s="168" t="s">
        <v>611</v>
      </c>
      <c r="D108" s="297"/>
      <c r="E108" s="54"/>
      <c r="F108" s="54"/>
      <c r="G108" s="169">
        <v>0</v>
      </c>
      <c r="H108" s="157"/>
      <c r="I108" s="95">
        <v>-32433</v>
      </c>
    </row>
    <row r="109" spans="2:9" s="27" customFormat="1" ht="12.75">
      <c r="B109" s="48">
        <v>601</v>
      </c>
      <c r="C109" s="57" t="s">
        <v>101</v>
      </c>
      <c r="D109" s="297"/>
      <c r="E109" s="54"/>
      <c r="F109" s="54"/>
      <c r="G109" s="169"/>
      <c r="H109" s="157" t="s">
        <v>148</v>
      </c>
      <c r="I109" s="95"/>
    </row>
    <row r="110" spans="2:9" s="27" customFormat="1" ht="12.75">
      <c r="B110" s="48"/>
      <c r="C110" s="57" t="s">
        <v>178</v>
      </c>
      <c r="D110" s="297" t="s">
        <v>85</v>
      </c>
      <c r="E110" s="54">
        <v>1495118</v>
      </c>
      <c r="F110" s="54">
        <v>1382588</v>
      </c>
      <c r="G110" s="169">
        <f t="shared" si="1"/>
        <v>112530</v>
      </c>
      <c r="H110" s="157" t="s">
        <v>441</v>
      </c>
      <c r="I110" s="95">
        <v>91038</v>
      </c>
    </row>
    <row r="111" spans="2:10" s="27" customFormat="1" ht="12.75">
      <c r="B111" s="48"/>
      <c r="C111" s="57" t="s">
        <v>440</v>
      </c>
      <c r="D111" s="297" t="s">
        <v>85</v>
      </c>
      <c r="E111" s="54">
        <v>56390</v>
      </c>
      <c r="F111" s="54">
        <v>13667</v>
      </c>
      <c r="G111" s="169">
        <f t="shared" si="1"/>
        <v>42723</v>
      </c>
      <c r="H111" s="157" t="s">
        <v>441</v>
      </c>
      <c r="I111" s="95">
        <v>0</v>
      </c>
      <c r="J111" s="34"/>
    </row>
    <row r="112" spans="2:10" s="27" customFormat="1" ht="12.75">
      <c r="B112" s="48"/>
      <c r="C112" s="292" t="s">
        <v>611</v>
      </c>
      <c r="D112" s="297"/>
      <c r="E112" s="54"/>
      <c r="F112" s="54"/>
      <c r="G112" s="169">
        <v>0</v>
      </c>
      <c r="H112" s="157"/>
      <c r="I112" s="95">
        <v>-91370</v>
      </c>
      <c r="J112" s="34"/>
    </row>
    <row r="113" spans="2:10" s="27" customFormat="1" ht="12.75">
      <c r="B113" s="48">
        <v>602</v>
      </c>
      <c r="C113" s="48" t="s">
        <v>102</v>
      </c>
      <c r="D113" s="297"/>
      <c r="E113" s="54"/>
      <c r="F113" s="54"/>
      <c r="G113" s="169"/>
      <c r="H113" s="157"/>
      <c r="I113" s="95"/>
      <c r="J113" s="34"/>
    </row>
    <row r="114" spans="2:10" s="27" customFormat="1" ht="12.75">
      <c r="B114" s="48"/>
      <c r="C114" s="292" t="s">
        <v>611</v>
      </c>
      <c r="D114" s="297"/>
      <c r="E114" s="54"/>
      <c r="F114" s="54"/>
      <c r="G114" s="169">
        <v>0</v>
      </c>
      <c r="H114" s="157"/>
      <c r="I114" s="95">
        <v>-299116</v>
      </c>
      <c r="J114" s="34"/>
    </row>
    <row r="115" spans="2:9" s="27" customFormat="1" ht="12.75">
      <c r="B115" s="48">
        <v>605</v>
      </c>
      <c r="C115" s="58" t="s">
        <v>368</v>
      </c>
      <c r="D115" s="297"/>
      <c r="E115" s="54"/>
      <c r="F115" s="54"/>
      <c r="G115" s="169"/>
      <c r="H115" s="157" t="s">
        <v>148</v>
      </c>
      <c r="I115" s="95"/>
    </row>
    <row r="116" spans="2:9" s="27" customFormat="1" ht="12.75">
      <c r="B116" s="48"/>
      <c r="C116" s="58" t="s">
        <v>369</v>
      </c>
      <c r="D116" s="297" t="s">
        <v>353</v>
      </c>
      <c r="E116" s="54">
        <v>-27713</v>
      </c>
      <c r="F116" s="54">
        <v>0</v>
      </c>
      <c r="G116" s="169">
        <f t="shared" si="1"/>
        <v>-27713</v>
      </c>
      <c r="H116" s="157" t="s">
        <v>441</v>
      </c>
      <c r="I116" s="95">
        <v>-27713</v>
      </c>
    </row>
    <row r="117" spans="2:9" s="27" customFormat="1" ht="12.75">
      <c r="B117" s="48"/>
      <c r="C117" s="58" t="s">
        <v>370</v>
      </c>
      <c r="D117" s="297" t="s">
        <v>353</v>
      </c>
      <c r="E117" s="54">
        <v>-32560</v>
      </c>
      <c r="F117" s="54">
        <v>14960</v>
      </c>
      <c r="G117" s="169">
        <f t="shared" si="1"/>
        <v>-47520</v>
      </c>
      <c r="H117" s="157" t="s">
        <v>441</v>
      </c>
      <c r="I117" s="95">
        <v>-32560</v>
      </c>
    </row>
    <row r="118" spans="2:9" s="27" customFormat="1" ht="12.75">
      <c r="B118" s="48"/>
      <c r="C118" s="48"/>
      <c r="D118" s="297"/>
      <c r="E118" s="54"/>
      <c r="F118" s="54"/>
      <c r="G118" s="137"/>
      <c r="H118" s="53"/>
      <c r="I118" s="95"/>
    </row>
    <row r="119" spans="2:9" s="37" customFormat="1" ht="20.25" customHeight="1">
      <c r="B119" s="47"/>
      <c r="C119" s="47" t="s">
        <v>402</v>
      </c>
      <c r="D119" s="302"/>
      <c r="E119" s="59"/>
      <c r="F119" s="59"/>
      <c r="G119" s="138">
        <f>SUM(G11:G117)</f>
        <v>18017017</v>
      </c>
      <c r="H119" s="60"/>
      <c r="I119" s="293">
        <f>SUM(I8:I118)-1</f>
        <v>24334756</v>
      </c>
    </row>
    <row r="121" ht="12.75">
      <c r="G121" s="30"/>
    </row>
  </sheetData>
  <printOptions/>
  <pageMargins left="0" right="0" top="0.3937007874015748" bottom="0" header="0" footer="0"/>
  <pageSetup horizontalDpi="600" verticalDpi="600" orientation="portrait" paperSize="9" r:id="rId1"/>
  <headerFooter alignWithMargins="0">
    <oddFooter>&amp;L&amp;8Dok.nr. 187953-17 Sag nr. 2692-17&amp;R&amp;P</oddFooter>
  </headerFooter>
  <rowBreaks count="2" manualBreakCount="2">
    <brk id="38" max="16383" man="1"/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3"/>
  <sheetViews>
    <sheetView workbookViewId="0" topLeftCell="A46">
      <selection activeCell="L18" sqref="L18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27.57421875" style="0" customWidth="1"/>
    <col min="4" max="4" width="9.140625" style="0" hidden="1" customWidth="1"/>
    <col min="5" max="6" width="11.421875" style="0" customWidth="1"/>
    <col min="7" max="7" width="14.00390625" style="0" customWidth="1"/>
    <col min="8" max="8" width="8.7109375" style="4" customWidth="1"/>
    <col min="9" max="9" width="14.140625" style="0" customWidth="1"/>
  </cols>
  <sheetData>
    <row r="1" ht="13.5" thickBot="1"/>
    <row r="2" spans="2:9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6"/>
      <c r="I2" s="43"/>
    </row>
    <row r="4" spans="2:3" ht="18">
      <c r="B4" s="13" t="s">
        <v>21</v>
      </c>
      <c r="C4" s="2"/>
    </row>
    <row r="5" ht="18">
      <c r="B5" s="13" t="s">
        <v>12</v>
      </c>
    </row>
    <row r="6" spans="2:9" s="1" customFormat="1" ht="66" customHeight="1">
      <c r="B6" s="21" t="s">
        <v>161</v>
      </c>
      <c r="C6" s="21"/>
      <c r="D6" s="22" t="s">
        <v>20</v>
      </c>
      <c r="E6" s="23" t="s">
        <v>403</v>
      </c>
      <c r="F6" s="23" t="s">
        <v>400</v>
      </c>
      <c r="G6" s="23" t="s">
        <v>404</v>
      </c>
      <c r="H6" s="23" t="s">
        <v>14</v>
      </c>
      <c r="I6" s="43" t="s">
        <v>608</v>
      </c>
    </row>
    <row r="7" spans="2:9" ht="27.6" customHeight="1">
      <c r="B7" s="46"/>
      <c r="C7" s="46"/>
      <c r="D7" s="46"/>
      <c r="E7" s="46"/>
      <c r="F7" s="46"/>
      <c r="G7" s="64" t="s">
        <v>17</v>
      </c>
      <c r="H7" s="45"/>
      <c r="I7" s="64" t="s">
        <v>17</v>
      </c>
    </row>
    <row r="8" spans="2:9" ht="12.75">
      <c r="B8" s="35" t="s">
        <v>18</v>
      </c>
      <c r="C8" s="46"/>
      <c r="D8" s="46"/>
      <c r="E8" s="46"/>
      <c r="F8" s="46"/>
      <c r="G8" s="46"/>
      <c r="H8" s="45"/>
      <c r="I8" s="36"/>
    </row>
    <row r="9" spans="2:9" ht="12.75">
      <c r="B9" s="46"/>
      <c r="C9" s="46"/>
      <c r="D9" s="46"/>
      <c r="E9" s="36"/>
      <c r="F9" s="36"/>
      <c r="G9" s="36"/>
      <c r="H9" s="71"/>
      <c r="I9" s="36"/>
    </row>
    <row r="10" spans="2:9" ht="12.75">
      <c r="B10" s="46">
        <v>501</v>
      </c>
      <c r="C10" s="46" t="s">
        <v>295</v>
      </c>
      <c r="D10" s="46"/>
      <c r="E10" s="36"/>
      <c r="F10" s="36"/>
      <c r="G10" s="36"/>
      <c r="H10" s="71"/>
      <c r="I10" s="36"/>
    </row>
    <row r="11" spans="2:9" ht="12.75">
      <c r="B11" s="46"/>
      <c r="C11" s="46" t="s">
        <v>72</v>
      </c>
      <c r="D11" s="46" t="s">
        <v>73</v>
      </c>
      <c r="E11" s="184">
        <v>2594104</v>
      </c>
      <c r="F11" s="184">
        <v>2151073</v>
      </c>
      <c r="G11" s="139">
        <f>SUM(E11-F11)</f>
        <v>443031</v>
      </c>
      <c r="H11" s="185" t="s">
        <v>471</v>
      </c>
      <c r="I11" s="36">
        <v>385465</v>
      </c>
    </row>
    <row r="12" spans="2:9" ht="12.75">
      <c r="B12" s="46"/>
      <c r="C12" s="50" t="s">
        <v>301</v>
      </c>
      <c r="D12" s="46" t="s">
        <v>74</v>
      </c>
      <c r="E12" s="184">
        <v>9443064</v>
      </c>
      <c r="F12" s="184">
        <v>11791830</v>
      </c>
      <c r="G12" s="139">
        <f aca="true" t="shared" si="0" ref="G12:G35">SUM(E12-F12)</f>
        <v>-2348766</v>
      </c>
      <c r="H12" s="185" t="s">
        <v>471</v>
      </c>
      <c r="I12" s="36">
        <v>-2509860</v>
      </c>
    </row>
    <row r="13" spans="2:9" ht="12.75">
      <c r="B13" s="46"/>
      <c r="C13" s="46" t="s">
        <v>75</v>
      </c>
      <c r="D13" s="46" t="s">
        <v>76</v>
      </c>
      <c r="E13" s="182">
        <v>6377253</v>
      </c>
      <c r="F13" s="182">
        <v>5897098</v>
      </c>
      <c r="G13" s="139">
        <f t="shared" si="0"/>
        <v>480155</v>
      </c>
      <c r="H13" s="185" t="s">
        <v>471</v>
      </c>
      <c r="I13" s="36">
        <v>859147</v>
      </c>
    </row>
    <row r="14" spans="2:9" ht="12.75">
      <c r="B14" s="46"/>
      <c r="C14" s="46" t="s">
        <v>77</v>
      </c>
      <c r="D14" s="46" t="s">
        <v>67</v>
      </c>
      <c r="E14" s="184">
        <v>2987040</v>
      </c>
      <c r="F14" s="184">
        <v>977120</v>
      </c>
      <c r="G14" s="139">
        <f t="shared" si="0"/>
        <v>2009920</v>
      </c>
      <c r="H14" s="185" t="s">
        <v>471</v>
      </c>
      <c r="I14" s="36">
        <v>1467390</v>
      </c>
    </row>
    <row r="15" spans="2:9" ht="12.75">
      <c r="B15" s="46"/>
      <c r="C15" s="50" t="s">
        <v>298</v>
      </c>
      <c r="D15" s="46" t="s">
        <v>78</v>
      </c>
      <c r="E15" s="184">
        <v>4329817</v>
      </c>
      <c r="F15" s="184">
        <v>3853912</v>
      </c>
      <c r="G15" s="139">
        <f t="shared" si="0"/>
        <v>475905</v>
      </c>
      <c r="H15" s="185" t="s">
        <v>471</v>
      </c>
      <c r="I15" s="36">
        <v>567045</v>
      </c>
    </row>
    <row r="16" spans="2:9" ht="12.75">
      <c r="B16" s="46"/>
      <c r="C16" s="50" t="s">
        <v>299</v>
      </c>
      <c r="D16" s="46" t="s">
        <v>79</v>
      </c>
      <c r="E16" s="184">
        <v>-344920</v>
      </c>
      <c r="F16" s="184">
        <v>-317711</v>
      </c>
      <c r="G16" s="139">
        <f t="shared" si="0"/>
        <v>-27209</v>
      </c>
      <c r="H16" s="185" t="s">
        <v>471</v>
      </c>
      <c r="I16" s="36">
        <v>-157500</v>
      </c>
    </row>
    <row r="17" spans="2:9" ht="12.75">
      <c r="B17" s="46"/>
      <c r="C17" s="50" t="s">
        <v>300</v>
      </c>
      <c r="D17" s="46" t="s">
        <v>80</v>
      </c>
      <c r="E17" s="184">
        <v>2085954</v>
      </c>
      <c r="F17" s="184">
        <v>2425496</v>
      </c>
      <c r="G17" s="139">
        <f t="shared" si="0"/>
        <v>-339542</v>
      </c>
      <c r="H17" s="185" t="s">
        <v>471</v>
      </c>
      <c r="I17" s="36">
        <v>-156409</v>
      </c>
    </row>
    <row r="18" spans="2:9" ht="12.75">
      <c r="B18" s="46"/>
      <c r="C18" s="46" t="s">
        <v>81</v>
      </c>
      <c r="D18" s="46" t="s">
        <v>82</v>
      </c>
      <c r="E18" s="184">
        <v>24932947</v>
      </c>
      <c r="F18" s="184">
        <v>23798526</v>
      </c>
      <c r="G18" s="139">
        <f>SUM(E18-F18)</f>
        <v>1134421</v>
      </c>
      <c r="H18" s="185" t="s">
        <v>471</v>
      </c>
      <c r="I18" s="36">
        <v>418205</v>
      </c>
    </row>
    <row r="19" spans="2:9" ht="12.75">
      <c r="B19" s="46"/>
      <c r="C19" s="46" t="s">
        <v>83</v>
      </c>
      <c r="D19" s="46" t="s">
        <v>84</v>
      </c>
      <c r="E19" s="184">
        <v>18600040</v>
      </c>
      <c r="F19" s="184">
        <v>20356374</v>
      </c>
      <c r="G19" s="139">
        <f t="shared" si="0"/>
        <v>-1756334</v>
      </c>
      <c r="H19" s="185" t="s">
        <v>471</v>
      </c>
      <c r="I19" s="36">
        <v>-165150</v>
      </c>
    </row>
    <row r="20" spans="2:11" s="32" customFormat="1" ht="12.75">
      <c r="B20" s="46"/>
      <c r="C20" s="46" t="s">
        <v>216</v>
      </c>
      <c r="D20" s="46" t="s">
        <v>86</v>
      </c>
      <c r="E20" s="184">
        <v>40790</v>
      </c>
      <c r="F20" s="184">
        <v>4415</v>
      </c>
      <c r="G20" s="139">
        <f t="shared" si="0"/>
        <v>36375</v>
      </c>
      <c r="H20" s="185" t="s">
        <v>471</v>
      </c>
      <c r="I20" s="36">
        <v>16530</v>
      </c>
      <c r="K20" s="130"/>
    </row>
    <row r="21" spans="2:9" ht="12.75">
      <c r="B21" s="46"/>
      <c r="C21" s="46"/>
      <c r="D21" s="46"/>
      <c r="E21" s="36"/>
      <c r="F21" s="36"/>
      <c r="G21" s="139"/>
      <c r="H21" s="71"/>
      <c r="I21" s="36"/>
    </row>
    <row r="22" spans="2:9" ht="12.75">
      <c r="B22" s="46">
        <v>502</v>
      </c>
      <c r="C22" s="46" t="s">
        <v>64</v>
      </c>
      <c r="D22" s="46"/>
      <c r="E22" s="36"/>
      <c r="F22" s="36"/>
      <c r="G22" s="139"/>
      <c r="H22" s="71"/>
      <c r="I22" s="36"/>
    </row>
    <row r="23" spans="2:9" ht="12.75">
      <c r="B23" s="46"/>
      <c r="C23" s="46" t="s">
        <v>191</v>
      </c>
      <c r="D23" s="46" t="s">
        <v>146</v>
      </c>
      <c r="E23" s="184">
        <v>28411</v>
      </c>
      <c r="F23" s="184">
        <v>1828</v>
      </c>
      <c r="G23" s="139">
        <f t="shared" si="0"/>
        <v>26583</v>
      </c>
      <c r="H23" s="185" t="s">
        <v>418</v>
      </c>
      <c r="I23" s="36">
        <v>18431</v>
      </c>
    </row>
    <row r="24" spans="2:9" s="32" customFormat="1" ht="12.75">
      <c r="B24" s="46"/>
      <c r="C24" s="46" t="s">
        <v>217</v>
      </c>
      <c r="D24" s="46" t="s">
        <v>73</v>
      </c>
      <c r="E24" s="184">
        <v>1193690</v>
      </c>
      <c r="F24" s="184">
        <v>1775117</v>
      </c>
      <c r="G24" s="139">
        <f t="shared" si="0"/>
        <v>-581427</v>
      </c>
      <c r="H24" s="185" t="s">
        <v>418</v>
      </c>
      <c r="I24" s="36">
        <v>-90663</v>
      </c>
    </row>
    <row r="25" spans="2:9" s="131" customFormat="1" ht="12.75">
      <c r="B25" s="46"/>
      <c r="C25" s="46" t="s">
        <v>609</v>
      </c>
      <c r="D25" s="46" t="s">
        <v>93</v>
      </c>
      <c r="E25" s="184">
        <v>0</v>
      </c>
      <c r="F25" s="184">
        <v>0</v>
      </c>
      <c r="G25" s="139">
        <f t="shared" si="0"/>
        <v>0</v>
      </c>
      <c r="H25" s="290" t="s">
        <v>418</v>
      </c>
      <c r="I25" s="36">
        <v>-152</v>
      </c>
    </row>
    <row r="26" spans="2:9" s="32" customFormat="1" ht="12.75">
      <c r="B26" s="46"/>
      <c r="C26" s="46" t="s">
        <v>96</v>
      </c>
      <c r="D26" s="46" t="s">
        <v>74</v>
      </c>
      <c r="E26" s="184">
        <v>398292</v>
      </c>
      <c r="F26" s="184">
        <v>581479</v>
      </c>
      <c r="G26" s="139">
        <f t="shared" si="0"/>
        <v>-183187</v>
      </c>
      <c r="H26" s="185" t="s">
        <v>418</v>
      </c>
      <c r="I26" s="36">
        <v>126290</v>
      </c>
    </row>
    <row r="27" spans="2:9" s="32" customFormat="1" ht="12.75">
      <c r="B27" s="46"/>
      <c r="C27" s="46" t="s">
        <v>87</v>
      </c>
      <c r="D27" s="46" t="s">
        <v>71</v>
      </c>
      <c r="E27" s="184">
        <v>1962726</v>
      </c>
      <c r="F27" s="184">
        <v>1610950</v>
      </c>
      <c r="G27" s="139">
        <f t="shared" si="0"/>
        <v>351776</v>
      </c>
      <c r="H27" s="185" t="s">
        <v>418</v>
      </c>
      <c r="I27" s="36">
        <v>264476</v>
      </c>
    </row>
    <row r="28" spans="2:9" s="32" customFormat="1" ht="12.75">
      <c r="B28" s="46"/>
      <c r="C28" s="46" t="s">
        <v>88</v>
      </c>
      <c r="D28" s="46" t="s">
        <v>89</v>
      </c>
      <c r="E28" s="184">
        <v>61497</v>
      </c>
      <c r="F28" s="184">
        <v>47334</v>
      </c>
      <c r="G28" s="139">
        <f t="shared" si="0"/>
        <v>14163</v>
      </c>
      <c r="H28" s="185" t="s">
        <v>418</v>
      </c>
      <c r="I28" s="36">
        <v>-10745</v>
      </c>
    </row>
    <row r="29" spans="2:9" ht="12.75">
      <c r="B29" s="46"/>
      <c r="C29" s="46" t="s">
        <v>65</v>
      </c>
      <c r="D29" s="46" t="s">
        <v>66</v>
      </c>
      <c r="E29" s="184">
        <v>917360</v>
      </c>
      <c r="F29" s="184">
        <v>392044</v>
      </c>
      <c r="G29" s="139">
        <f t="shared" si="0"/>
        <v>525316</v>
      </c>
      <c r="H29" s="185" t="s">
        <v>418</v>
      </c>
      <c r="I29" s="36">
        <v>200000</v>
      </c>
    </row>
    <row r="30" spans="2:9" ht="12.75">
      <c r="B30" s="46"/>
      <c r="C30" s="46" t="s">
        <v>94</v>
      </c>
      <c r="D30" s="46" t="s">
        <v>68</v>
      </c>
      <c r="E30" s="184">
        <v>41296</v>
      </c>
      <c r="F30" s="184">
        <v>41296</v>
      </c>
      <c r="G30" s="139">
        <f t="shared" si="0"/>
        <v>0</v>
      </c>
      <c r="H30" s="185" t="s">
        <v>418</v>
      </c>
      <c r="I30" s="36">
        <v>46746</v>
      </c>
    </row>
    <row r="31" spans="2:9" ht="12.75">
      <c r="B31" s="46"/>
      <c r="C31" s="46" t="s">
        <v>123</v>
      </c>
      <c r="D31" s="46" t="s">
        <v>124</v>
      </c>
      <c r="E31" s="184">
        <v>88270</v>
      </c>
      <c r="F31" s="184">
        <v>88270</v>
      </c>
      <c r="G31" s="139">
        <f t="shared" si="0"/>
        <v>0</v>
      </c>
      <c r="H31" s="185" t="s">
        <v>418</v>
      </c>
      <c r="I31" s="36">
        <v>0</v>
      </c>
    </row>
    <row r="32" spans="2:9" ht="12.75">
      <c r="B32" s="46"/>
      <c r="C32" s="46" t="s">
        <v>95</v>
      </c>
      <c r="D32" s="46" t="s">
        <v>69</v>
      </c>
      <c r="E32" s="184">
        <v>1479253</v>
      </c>
      <c r="F32" s="184">
        <v>1465295</v>
      </c>
      <c r="G32" s="139">
        <f t="shared" si="0"/>
        <v>13958</v>
      </c>
      <c r="H32" s="185" t="s">
        <v>418</v>
      </c>
      <c r="I32" s="36">
        <v>162500</v>
      </c>
    </row>
    <row r="33" spans="2:9" ht="12.75">
      <c r="B33" s="46"/>
      <c r="C33" s="46" t="s">
        <v>192</v>
      </c>
      <c r="D33" s="46" t="s">
        <v>308</v>
      </c>
      <c r="E33" s="184">
        <v>131158</v>
      </c>
      <c r="F33" s="184">
        <v>-421311</v>
      </c>
      <c r="G33" s="139">
        <f t="shared" si="0"/>
        <v>552469</v>
      </c>
      <c r="H33" s="185" t="s">
        <v>418</v>
      </c>
      <c r="I33" s="36">
        <v>280328</v>
      </c>
    </row>
    <row r="34" spans="2:9" ht="12.75">
      <c r="B34" s="46"/>
      <c r="C34" s="46" t="s">
        <v>300</v>
      </c>
      <c r="D34" s="46" t="s">
        <v>80</v>
      </c>
      <c r="E34" s="36">
        <v>1684</v>
      </c>
      <c r="F34" s="36">
        <v>1699</v>
      </c>
      <c r="G34" s="139">
        <f t="shared" si="0"/>
        <v>-15</v>
      </c>
      <c r="H34" s="185" t="s">
        <v>418</v>
      </c>
      <c r="I34" s="36">
        <v>0</v>
      </c>
    </row>
    <row r="35" spans="2:9" s="131" customFormat="1" ht="12.75">
      <c r="B35" s="46"/>
      <c r="C35" s="46" t="s">
        <v>610</v>
      </c>
      <c r="D35" s="46" t="s">
        <v>82</v>
      </c>
      <c r="E35" s="36">
        <v>0</v>
      </c>
      <c r="F35" s="36">
        <v>0</v>
      </c>
      <c r="G35" s="139">
        <f t="shared" si="0"/>
        <v>0</v>
      </c>
      <c r="H35" s="185" t="s">
        <v>418</v>
      </c>
      <c r="I35" s="36">
        <v>31282</v>
      </c>
    </row>
    <row r="36" spans="2:9" s="32" customFormat="1" ht="12.75">
      <c r="B36" s="46"/>
      <c r="C36" s="46"/>
      <c r="D36" s="46"/>
      <c r="E36" s="36"/>
      <c r="F36" s="36"/>
      <c r="G36" s="139"/>
      <c r="H36" s="71"/>
      <c r="I36" s="36"/>
    </row>
    <row r="37" spans="2:9" ht="12.75">
      <c r="B37" s="35" t="s">
        <v>196</v>
      </c>
      <c r="C37" s="46"/>
      <c r="D37" s="46"/>
      <c r="E37" s="36"/>
      <c r="F37" s="36"/>
      <c r="G37" s="139"/>
      <c r="H37" s="71"/>
      <c r="I37" s="36"/>
    </row>
    <row r="38" spans="2:9" ht="12.75">
      <c r="B38" s="35"/>
      <c r="C38" s="46"/>
      <c r="D38" s="46"/>
      <c r="E38" s="36"/>
      <c r="F38" s="36"/>
      <c r="G38" s="139"/>
      <c r="H38" s="71"/>
      <c r="I38" s="36"/>
    </row>
    <row r="39" spans="2:9" ht="12.75">
      <c r="B39" s="46">
        <v>101</v>
      </c>
      <c r="C39" s="46" t="s">
        <v>309</v>
      </c>
      <c r="D39" s="46"/>
      <c r="E39" s="36"/>
      <c r="F39" s="36"/>
      <c r="G39" s="139"/>
      <c r="H39" s="71"/>
      <c r="I39" s="36"/>
    </row>
    <row r="40" spans="2:9" ht="12.75">
      <c r="B40" s="46"/>
      <c r="C40" s="46" t="s">
        <v>310</v>
      </c>
      <c r="D40" s="46" t="s">
        <v>78</v>
      </c>
      <c r="E40" s="36">
        <v>976379</v>
      </c>
      <c r="F40" s="36">
        <v>979671</v>
      </c>
      <c r="G40" s="139">
        <f>SUM(E40-F40)</f>
        <v>-3292</v>
      </c>
      <c r="H40" s="71"/>
      <c r="I40" s="36">
        <v>6699</v>
      </c>
    </row>
    <row r="41" spans="2:9" ht="12.75">
      <c r="B41" s="46"/>
      <c r="C41" s="46"/>
      <c r="D41" s="46"/>
      <c r="E41" s="36"/>
      <c r="F41" s="36"/>
      <c r="G41" s="139"/>
      <c r="H41" s="71"/>
      <c r="I41" s="36"/>
    </row>
    <row r="42" spans="2:9" ht="12.75">
      <c r="B42" s="35" t="s">
        <v>131</v>
      </c>
      <c r="C42" s="46"/>
      <c r="D42" s="46"/>
      <c r="E42" s="36"/>
      <c r="F42" s="36"/>
      <c r="G42" s="139"/>
      <c r="H42" s="71"/>
      <c r="I42" s="36"/>
    </row>
    <row r="43" spans="2:9" s="40" customFormat="1" ht="12.75">
      <c r="B43" s="35"/>
      <c r="C43" s="46"/>
      <c r="D43" s="46"/>
      <c r="E43" s="36"/>
      <c r="F43" s="36"/>
      <c r="G43" s="139"/>
      <c r="H43" s="71"/>
      <c r="I43" s="36"/>
    </row>
    <row r="44" spans="2:9" s="40" customFormat="1" ht="12.75">
      <c r="B44" s="50">
        <v>103</v>
      </c>
      <c r="C44" s="46" t="s">
        <v>311</v>
      </c>
      <c r="D44" s="50"/>
      <c r="E44" s="36"/>
      <c r="F44" s="36"/>
      <c r="G44" s="139"/>
      <c r="H44" s="71"/>
      <c r="I44" s="36"/>
    </row>
    <row r="45" spans="2:9" s="40" customFormat="1" ht="12.75">
      <c r="B45" s="50"/>
      <c r="C45" s="50" t="s">
        <v>218</v>
      </c>
      <c r="D45" s="50" t="s">
        <v>85</v>
      </c>
      <c r="E45" s="36">
        <v>988850</v>
      </c>
      <c r="F45" s="36">
        <v>0</v>
      </c>
      <c r="G45" s="139">
        <f>SUM(E45-F45)</f>
        <v>988850</v>
      </c>
      <c r="H45" s="71"/>
      <c r="I45" s="36">
        <v>325000</v>
      </c>
    </row>
    <row r="46" spans="2:9" ht="12.75">
      <c r="B46" s="35"/>
      <c r="C46" s="46"/>
      <c r="D46" s="46"/>
      <c r="E46" s="36"/>
      <c r="F46" s="36"/>
      <c r="G46" s="139"/>
      <c r="H46" s="71"/>
      <c r="I46" s="36"/>
    </row>
    <row r="47" spans="2:9" ht="12.75">
      <c r="B47" s="46">
        <v>502</v>
      </c>
      <c r="C47" s="46" t="s">
        <v>64</v>
      </c>
      <c r="D47" s="46"/>
      <c r="E47" s="36"/>
      <c r="F47" s="36"/>
      <c r="G47" s="139"/>
      <c r="H47" s="71"/>
      <c r="I47" s="36"/>
    </row>
    <row r="48" spans="2:9" s="32" customFormat="1" ht="12.75">
      <c r="B48" s="46"/>
      <c r="C48" s="46" t="s">
        <v>198</v>
      </c>
      <c r="D48" s="46" t="s">
        <v>73</v>
      </c>
      <c r="E48" s="184">
        <v>-75395</v>
      </c>
      <c r="F48" s="184">
        <v>11318</v>
      </c>
      <c r="G48" s="139">
        <f>SUM(E48-F48)</f>
        <v>-86713</v>
      </c>
      <c r="H48" s="185" t="s">
        <v>418</v>
      </c>
      <c r="I48" s="36">
        <v>-117245</v>
      </c>
    </row>
    <row r="49" spans="2:9" s="131" customFormat="1" ht="12.75">
      <c r="B49" s="46"/>
      <c r="C49" s="46" t="s">
        <v>193</v>
      </c>
      <c r="D49" s="46" t="s">
        <v>194</v>
      </c>
      <c r="E49" s="184">
        <v>1172140</v>
      </c>
      <c r="F49" s="184">
        <v>1129371</v>
      </c>
      <c r="G49" s="139">
        <f>SUM(E49-F49)</f>
        <v>42769</v>
      </c>
      <c r="H49" s="185" t="s">
        <v>418</v>
      </c>
      <c r="I49" s="36">
        <v>26077</v>
      </c>
    </row>
    <row r="50" spans="2:9" s="32" customFormat="1" ht="12.75">
      <c r="B50" s="46"/>
      <c r="C50" s="46" t="s">
        <v>219</v>
      </c>
      <c r="D50" s="46" t="s">
        <v>194</v>
      </c>
      <c r="E50" s="184">
        <v>861481</v>
      </c>
      <c r="F50" s="184">
        <v>484202</v>
      </c>
      <c r="G50" s="139">
        <f aca="true" t="shared" si="1" ref="G50:G63">SUM(E50-F50)</f>
        <v>377279</v>
      </c>
      <c r="H50" s="185" t="s">
        <v>418</v>
      </c>
      <c r="I50" s="36">
        <v>559964</v>
      </c>
    </row>
    <row r="51" spans="2:9" s="32" customFormat="1" ht="12.75">
      <c r="B51" s="46"/>
      <c r="C51" s="46" t="s">
        <v>220</v>
      </c>
      <c r="D51" s="46" t="s">
        <v>71</v>
      </c>
      <c r="E51" s="184">
        <v>281495</v>
      </c>
      <c r="F51" s="184">
        <v>15750</v>
      </c>
      <c r="G51" s="139">
        <f t="shared" si="1"/>
        <v>265745</v>
      </c>
      <c r="H51" s="185" t="s">
        <v>418</v>
      </c>
      <c r="I51" s="36">
        <v>138835</v>
      </c>
    </row>
    <row r="52" spans="2:9" s="32" customFormat="1" ht="12.75">
      <c r="B52" s="46"/>
      <c r="C52" s="50" t="s">
        <v>302</v>
      </c>
      <c r="D52" s="46" t="s">
        <v>71</v>
      </c>
      <c r="E52" s="184">
        <v>374434</v>
      </c>
      <c r="F52" s="184">
        <v>361978</v>
      </c>
      <c r="G52" s="139">
        <f t="shared" si="1"/>
        <v>12456</v>
      </c>
      <c r="H52" s="185" t="s">
        <v>418</v>
      </c>
      <c r="I52" s="36">
        <v>272464</v>
      </c>
    </row>
    <row r="53" spans="2:9" s="32" customFormat="1" ht="12.75">
      <c r="B53" s="46"/>
      <c r="C53" s="46" t="s">
        <v>136</v>
      </c>
      <c r="D53" s="46" t="s">
        <v>114</v>
      </c>
      <c r="E53" s="184">
        <v>870018</v>
      </c>
      <c r="F53" s="184">
        <v>424223</v>
      </c>
      <c r="G53" s="139">
        <f t="shared" si="1"/>
        <v>445795</v>
      </c>
      <c r="H53" s="185" t="s">
        <v>418</v>
      </c>
      <c r="I53" s="36">
        <v>167697</v>
      </c>
    </row>
    <row r="54" spans="2:9" s="32" customFormat="1" ht="12.75">
      <c r="B54" s="46"/>
      <c r="C54" s="46" t="s">
        <v>113</v>
      </c>
      <c r="D54" s="46" t="s">
        <v>114</v>
      </c>
      <c r="E54" s="184">
        <v>106880</v>
      </c>
      <c r="F54" s="184">
        <v>22872</v>
      </c>
      <c r="G54" s="139">
        <f t="shared" si="1"/>
        <v>84008</v>
      </c>
      <c r="H54" s="185" t="s">
        <v>418</v>
      </c>
      <c r="I54" s="36">
        <v>59651</v>
      </c>
    </row>
    <row r="55" spans="2:9" s="32" customFormat="1" ht="12.75">
      <c r="B55" s="46"/>
      <c r="C55" s="46" t="s">
        <v>221</v>
      </c>
      <c r="D55" s="46" t="s">
        <v>66</v>
      </c>
      <c r="E55" s="184">
        <v>8926</v>
      </c>
      <c r="F55" s="184">
        <v>0</v>
      </c>
      <c r="G55" s="139">
        <f t="shared" si="1"/>
        <v>8926</v>
      </c>
      <c r="H55" s="185" t="s">
        <v>418</v>
      </c>
      <c r="I55" s="36">
        <v>8926</v>
      </c>
    </row>
    <row r="56" spans="2:9" s="40" customFormat="1" ht="12.75">
      <c r="B56" s="46"/>
      <c r="C56" s="50" t="s">
        <v>312</v>
      </c>
      <c r="D56" s="50" t="s">
        <v>66</v>
      </c>
      <c r="E56" s="187">
        <v>-22000</v>
      </c>
      <c r="F56" s="184">
        <v>280000</v>
      </c>
      <c r="G56" s="139">
        <f t="shared" si="1"/>
        <v>-302000</v>
      </c>
      <c r="H56" s="185" t="s">
        <v>418</v>
      </c>
      <c r="I56" s="36">
        <v>-22000</v>
      </c>
    </row>
    <row r="57" spans="2:9" s="40" customFormat="1" ht="12.75">
      <c r="B57" s="46"/>
      <c r="C57" s="50" t="s">
        <v>313</v>
      </c>
      <c r="D57" s="50" t="s">
        <v>66</v>
      </c>
      <c r="E57" s="187">
        <v>-57300</v>
      </c>
      <c r="F57" s="184">
        <v>-69375</v>
      </c>
      <c r="G57" s="139">
        <f t="shared" si="1"/>
        <v>12075</v>
      </c>
      <c r="H57" s="185" t="s">
        <v>418</v>
      </c>
      <c r="I57" s="36">
        <v>-57300</v>
      </c>
    </row>
    <row r="58" spans="2:9" s="32" customFormat="1" ht="12.75">
      <c r="B58" s="46"/>
      <c r="C58" s="50" t="s">
        <v>314</v>
      </c>
      <c r="D58" s="50" t="s">
        <v>66</v>
      </c>
      <c r="E58" s="184">
        <v>-258085</v>
      </c>
      <c r="F58" s="184">
        <v>-258085</v>
      </c>
      <c r="G58" s="139">
        <f t="shared" si="1"/>
        <v>0</v>
      </c>
      <c r="H58" s="185" t="s">
        <v>418</v>
      </c>
      <c r="I58" s="36">
        <v>-258085</v>
      </c>
    </row>
    <row r="59" spans="2:9" s="40" customFormat="1" ht="12.75">
      <c r="B59" s="46"/>
      <c r="C59" s="50" t="s">
        <v>315</v>
      </c>
      <c r="D59" s="50" t="s">
        <v>66</v>
      </c>
      <c r="E59" s="184">
        <v>62650</v>
      </c>
      <c r="F59" s="184">
        <v>62650</v>
      </c>
      <c r="G59" s="139">
        <f t="shared" si="1"/>
        <v>0</v>
      </c>
      <c r="H59" s="185" t="s">
        <v>418</v>
      </c>
      <c r="I59" s="36">
        <v>62650</v>
      </c>
    </row>
    <row r="60" spans="2:9" s="131" customFormat="1" ht="12.75">
      <c r="B60" s="46"/>
      <c r="C60" s="186" t="s">
        <v>472</v>
      </c>
      <c r="D60" s="186" t="s">
        <v>66</v>
      </c>
      <c r="E60" s="184">
        <v>0</v>
      </c>
      <c r="F60" s="184">
        <v>11000</v>
      </c>
      <c r="G60" s="139">
        <f t="shared" si="1"/>
        <v>-11000</v>
      </c>
      <c r="H60" s="185" t="s">
        <v>418</v>
      </c>
      <c r="I60" s="36">
        <v>0</v>
      </c>
    </row>
    <row r="61" spans="2:9" s="131" customFormat="1" ht="12.75">
      <c r="B61" s="46"/>
      <c r="C61" s="186" t="s">
        <v>473</v>
      </c>
      <c r="D61" s="186" t="s">
        <v>66</v>
      </c>
      <c r="E61" s="184">
        <v>0</v>
      </c>
      <c r="F61" s="184">
        <v>76620</v>
      </c>
      <c r="G61" s="139">
        <f t="shared" si="1"/>
        <v>-76620</v>
      </c>
      <c r="H61" s="185" t="s">
        <v>418</v>
      </c>
      <c r="I61" s="36">
        <v>0</v>
      </c>
    </row>
    <row r="62" spans="2:9" s="131" customFormat="1" ht="12.75">
      <c r="B62" s="46"/>
      <c r="C62" s="186" t="s">
        <v>474</v>
      </c>
      <c r="D62" s="186" t="s">
        <v>66</v>
      </c>
      <c r="E62" s="184">
        <v>300000</v>
      </c>
      <c r="F62" s="184">
        <v>43505</v>
      </c>
      <c r="G62" s="139">
        <f t="shared" si="1"/>
        <v>256495</v>
      </c>
      <c r="H62" s="185" t="s">
        <v>418</v>
      </c>
      <c r="I62" s="36">
        <v>0</v>
      </c>
    </row>
    <row r="63" spans="2:9" s="40" customFormat="1" ht="12.75">
      <c r="B63" s="46"/>
      <c r="C63" s="50" t="s">
        <v>316</v>
      </c>
      <c r="D63" s="50" t="s">
        <v>317</v>
      </c>
      <c r="E63" s="184">
        <v>-500000</v>
      </c>
      <c r="F63" s="184">
        <v>-500000</v>
      </c>
      <c r="G63" s="139">
        <f t="shared" si="1"/>
        <v>0</v>
      </c>
      <c r="H63" s="185" t="s">
        <v>418</v>
      </c>
      <c r="I63" s="36">
        <v>-662500</v>
      </c>
    </row>
    <row r="64" spans="2:9" s="40" customFormat="1" ht="12.75">
      <c r="B64" s="46"/>
      <c r="C64" s="50"/>
      <c r="D64" s="50"/>
      <c r="E64" s="36"/>
      <c r="F64" s="36"/>
      <c r="G64" s="139"/>
      <c r="H64" s="71"/>
      <c r="I64" s="36"/>
    </row>
    <row r="65" spans="2:9" s="40" customFormat="1" ht="12.75">
      <c r="B65" s="46">
        <v>601</v>
      </c>
      <c r="C65" s="50" t="s">
        <v>101</v>
      </c>
      <c r="D65" s="68"/>
      <c r="E65" s="36"/>
      <c r="F65" s="36"/>
      <c r="G65" s="139"/>
      <c r="H65" s="71"/>
      <c r="I65" s="36"/>
    </row>
    <row r="66" spans="2:9" s="40" customFormat="1" ht="12.75">
      <c r="B66" s="46"/>
      <c r="C66" s="112" t="s">
        <v>218</v>
      </c>
      <c r="D66" s="112" t="s">
        <v>85</v>
      </c>
      <c r="E66" s="113">
        <v>11246813</v>
      </c>
      <c r="F66" s="113">
        <v>11043823</v>
      </c>
      <c r="G66" s="139">
        <f aca="true" t="shared" si="2" ref="G66">SUM(E66-F66)</f>
        <v>202990</v>
      </c>
      <c r="H66" s="114"/>
      <c r="I66" s="36">
        <v>282337</v>
      </c>
    </row>
    <row r="67" spans="2:9" s="40" customFormat="1" ht="12.75">
      <c r="B67" s="46"/>
      <c r="C67" s="46"/>
      <c r="D67" s="50"/>
      <c r="E67" s="36"/>
      <c r="F67" s="36"/>
      <c r="G67" s="139"/>
      <c r="H67" s="71"/>
      <c r="I67" s="36"/>
    </row>
    <row r="68" spans="2:10" ht="12" customHeight="1">
      <c r="B68" s="46"/>
      <c r="C68" s="46"/>
      <c r="D68" s="46"/>
      <c r="E68" s="36"/>
      <c r="F68" s="36"/>
      <c r="G68" s="139"/>
      <c r="H68" s="71"/>
      <c r="I68" s="36"/>
      <c r="J68" s="111"/>
    </row>
    <row r="69" spans="2:9" ht="12.75">
      <c r="B69" s="35" t="s">
        <v>8</v>
      </c>
      <c r="C69" s="35"/>
      <c r="D69" s="35"/>
      <c r="E69" s="61">
        <f>SUM(E8:E67)</f>
        <v>93687012</v>
      </c>
      <c r="F69" s="61">
        <f>SUM(F8:F67)</f>
        <v>90641657</v>
      </c>
      <c r="G69" s="140">
        <f>SUM(G11:G68)</f>
        <v>3045355</v>
      </c>
      <c r="H69" s="71"/>
      <c r="I69" s="61">
        <f>SUM(I11:I68)</f>
        <v>2546526</v>
      </c>
    </row>
    <row r="70" spans="2:9" s="1" customFormat="1" ht="12.75">
      <c r="B70" s="46"/>
      <c r="C70" s="46"/>
      <c r="D70" s="46"/>
      <c r="E70" s="36"/>
      <c r="F70" s="36"/>
      <c r="G70" s="139"/>
      <c r="H70" s="71"/>
      <c r="I70" s="61"/>
    </row>
    <row r="71" spans="2:9" ht="12.75">
      <c r="B71" s="35" t="s">
        <v>405</v>
      </c>
      <c r="C71" s="35"/>
      <c r="D71" s="35"/>
      <c r="E71" s="61">
        <f>E69</f>
        <v>93687012</v>
      </c>
      <c r="F71" s="61">
        <f>F69</f>
        <v>90641657</v>
      </c>
      <c r="G71" s="140">
        <f>SUM(G69)</f>
        <v>3045355</v>
      </c>
      <c r="H71" s="72"/>
      <c r="I71" s="61">
        <f>SUM(I69)</f>
        <v>2546526</v>
      </c>
    </row>
    <row r="72" spans="5:8" ht="12.75">
      <c r="E72" s="3"/>
      <c r="F72" s="3"/>
      <c r="G72" s="3"/>
      <c r="H72" s="7"/>
    </row>
    <row r="73" spans="2:8" ht="12.75">
      <c r="B73" s="11"/>
      <c r="H73"/>
    </row>
  </sheetData>
  <printOptions/>
  <pageMargins left="0" right="0" top="0.3937007874015748" bottom="0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 topLeftCell="A1">
      <selection activeCell="B3" sqref="B3"/>
    </sheetView>
  </sheetViews>
  <sheetFormatPr defaultColWidth="9.28125" defaultRowHeight="12.75"/>
  <cols>
    <col min="1" max="1" width="1.421875" style="131" customWidth="1"/>
    <col min="2" max="2" width="5.28125" style="131" customWidth="1"/>
    <col min="3" max="3" width="29.8515625" style="131" customWidth="1"/>
    <col min="4" max="4" width="7.421875" style="131" customWidth="1"/>
    <col min="5" max="5" width="11.421875" style="131" customWidth="1"/>
    <col min="6" max="6" width="11.57421875" style="131" customWidth="1"/>
    <col min="7" max="7" width="10.7109375" style="131" customWidth="1"/>
    <col min="8" max="8" width="9.28125" style="4" customWidth="1"/>
    <col min="9" max="9" width="10.140625" style="131" customWidth="1"/>
    <col min="10" max="16384" width="9.28125" style="131" customWidth="1"/>
  </cols>
  <sheetData>
    <row r="1" ht="13.5" thickBot="1">
      <c r="H1" s="131"/>
    </row>
    <row r="2" spans="1:8" ht="26.25" thickBot="1">
      <c r="A2" s="197"/>
      <c r="B2" s="198" t="s">
        <v>395</v>
      </c>
      <c r="C2" s="199"/>
      <c r="D2" s="199"/>
      <c r="E2" s="199"/>
      <c r="F2" s="199"/>
      <c r="G2" s="199"/>
      <c r="H2" s="200"/>
    </row>
    <row r="4" spans="2:8" ht="18">
      <c r="B4" s="41" t="s">
        <v>510</v>
      </c>
      <c r="C4" s="201"/>
      <c r="H4" s="131"/>
    </row>
    <row r="5" spans="2:8" ht="18">
      <c r="B5" s="41" t="s">
        <v>12</v>
      </c>
      <c r="H5" s="131"/>
    </row>
    <row r="6" spans="1:9" ht="51">
      <c r="A6" s="37"/>
      <c r="B6" s="202" t="s">
        <v>161</v>
      </c>
      <c r="C6" s="203"/>
      <c r="D6" s="204" t="s">
        <v>20</v>
      </c>
      <c r="E6" s="205" t="s">
        <v>403</v>
      </c>
      <c r="F6" s="205" t="s">
        <v>400</v>
      </c>
      <c r="G6" s="206" t="s">
        <v>404</v>
      </c>
      <c r="H6" s="205" t="s">
        <v>160</v>
      </c>
      <c r="I6" s="205" t="s">
        <v>612</v>
      </c>
    </row>
    <row r="7" spans="2:9" ht="24" customHeight="1">
      <c r="B7" s="207"/>
      <c r="C7" s="208"/>
      <c r="D7" s="209"/>
      <c r="E7" s="210"/>
      <c r="F7" s="210"/>
      <c r="G7" s="348" t="s">
        <v>17</v>
      </c>
      <c r="H7" s="348"/>
      <c r="I7" s="335"/>
    </row>
    <row r="8" spans="2:9" ht="13.5" thickBot="1">
      <c r="B8" s="37" t="s">
        <v>18</v>
      </c>
      <c r="D8" s="4"/>
      <c r="H8" s="131"/>
      <c r="I8" s="336"/>
    </row>
    <row r="9" spans="2:9" ht="14.25" customHeight="1">
      <c r="B9" s="211">
        <v>201</v>
      </c>
      <c r="C9" s="212" t="s">
        <v>135</v>
      </c>
      <c r="D9" s="213">
        <v>511020</v>
      </c>
      <c r="E9" s="214">
        <v>70727766</v>
      </c>
      <c r="F9" s="215">
        <v>70204313</v>
      </c>
      <c r="G9" s="257">
        <f>E9-F9</f>
        <v>523453</v>
      </c>
      <c r="H9" s="217" t="s">
        <v>511</v>
      </c>
      <c r="I9" s="345">
        <v>-191862</v>
      </c>
    </row>
    <row r="10" spans="1:9" ht="12.75">
      <c r="A10" s="37"/>
      <c r="B10" s="218">
        <v>210</v>
      </c>
      <c r="C10" s="219" t="s">
        <v>512</v>
      </c>
      <c r="D10" s="220">
        <v>514002</v>
      </c>
      <c r="E10" s="221">
        <v>2024976</v>
      </c>
      <c r="F10" s="222">
        <v>2003125</v>
      </c>
      <c r="G10" s="258">
        <f>E10-F10</f>
        <v>21851</v>
      </c>
      <c r="H10" s="223" t="s">
        <v>513</v>
      </c>
      <c r="I10" s="346">
        <v>17289</v>
      </c>
    </row>
    <row r="11" spans="1:9" ht="12.75">
      <c r="A11" s="37"/>
      <c r="B11" s="218">
        <v>217</v>
      </c>
      <c r="C11" s="224" t="s">
        <v>26</v>
      </c>
      <c r="D11" s="220">
        <v>514004</v>
      </c>
      <c r="E11" s="221">
        <v>2362460</v>
      </c>
      <c r="F11" s="222">
        <v>2366948</v>
      </c>
      <c r="G11" s="258">
        <f>E11-F11</f>
        <v>-4488</v>
      </c>
      <c r="H11" s="223" t="s">
        <v>514</v>
      </c>
      <c r="I11" s="346">
        <v>-81029</v>
      </c>
    </row>
    <row r="12" spans="2:9" ht="12.75">
      <c r="B12" s="218">
        <v>222</v>
      </c>
      <c r="C12" s="224" t="s">
        <v>515</v>
      </c>
      <c r="D12" s="220">
        <v>514006</v>
      </c>
      <c r="E12" s="221">
        <v>4839846</v>
      </c>
      <c r="F12" s="222">
        <v>4808001</v>
      </c>
      <c r="G12" s="258">
        <f>E12-F12</f>
        <v>31845</v>
      </c>
      <c r="H12" s="225" t="s">
        <v>516</v>
      </c>
      <c r="I12" s="346">
        <v>150779</v>
      </c>
    </row>
    <row r="13" spans="2:9" ht="12.75">
      <c r="B13" s="218">
        <v>224</v>
      </c>
      <c r="C13" s="224" t="s">
        <v>517</v>
      </c>
      <c r="D13" s="220">
        <v>514008</v>
      </c>
      <c r="E13" s="221">
        <f>6505625+60000</f>
        <v>6565625</v>
      </c>
      <c r="F13" s="222">
        <f>6460241+119808</f>
        <v>6580049</v>
      </c>
      <c r="G13" s="258">
        <f aca="true" t="shared" si="0" ref="G13:G88">E13-F13</f>
        <v>-14424</v>
      </c>
      <c r="H13" s="223" t="s">
        <v>516</v>
      </c>
      <c r="I13" s="346">
        <v>203079</v>
      </c>
    </row>
    <row r="14" spans="2:9" ht="12.75">
      <c r="B14" s="218">
        <v>228</v>
      </c>
      <c r="C14" s="224" t="s">
        <v>27</v>
      </c>
      <c r="D14" s="220">
        <v>514010</v>
      </c>
      <c r="E14" s="221">
        <v>9389792</v>
      </c>
      <c r="F14" s="222">
        <v>9411747</v>
      </c>
      <c r="G14" s="258">
        <f t="shared" si="0"/>
        <v>-21955</v>
      </c>
      <c r="H14" s="223" t="s">
        <v>518</v>
      </c>
      <c r="I14" s="346">
        <v>-212765</v>
      </c>
    </row>
    <row r="15" spans="2:9" ht="12.75">
      <c r="B15" s="218">
        <v>240</v>
      </c>
      <c r="C15" s="224" t="s">
        <v>151</v>
      </c>
      <c r="D15" s="220">
        <v>514020</v>
      </c>
      <c r="E15" s="221">
        <v>15903163</v>
      </c>
      <c r="F15" s="222">
        <v>15397172</v>
      </c>
      <c r="G15" s="258">
        <f t="shared" si="0"/>
        <v>505991</v>
      </c>
      <c r="H15" s="223" t="s">
        <v>519</v>
      </c>
      <c r="I15" s="346">
        <v>-8082</v>
      </c>
    </row>
    <row r="16" spans="2:9" ht="12.75">
      <c r="B16" s="218">
        <v>241</v>
      </c>
      <c r="C16" s="224" t="s">
        <v>152</v>
      </c>
      <c r="D16" s="220">
        <v>514025</v>
      </c>
      <c r="E16" s="221">
        <f>13513615+3346936</f>
        <v>16860551</v>
      </c>
      <c r="F16" s="222">
        <f>12998302+3068047</f>
        <v>16066349</v>
      </c>
      <c r="G16" s="258">
        <f t="shared" si="0"/>
        <v>794202</v>
      </c>
      <c r="H16" s="223" t="s">
        <v>520</v>
      </c>
      <c r="I16" s="346">
        <v>837618</v>
      </c>
    </row>
    <row r="17" spans="2:9" ht="12.75">
      <c r="B17" s="218">
        <v>242</v>
      </c>
      <c r="C17" s="224" t="s">
        <v>153</v>
      </c>
      <c r="D17" s="220">
        <v>514050</v>
      </c>
      <c r="E17" s="221">
        <v>11469580</v>
      </c>
      <c r="F17" s="222">
        <v>11099509</v>
      </c>
      <c r="G17" s="258">
        <f t="shared" si="0"/>
        <v>370071</v>
      </c>
      <c r="H17" s="223" t="s">
        <v>521</v>
      </c>
      <c r="I17" s="346">
        <v>522821</v>
      </c>
    </row>
    <row r="18" spans="2:9" ht="12.75">
      <c r="B18" s="218">
        <v>243</v>
      </c>
      <c r="C18" s="224" t="s">
        <v>154</v>
      </c>
      <c r="D18" s="220">
        <v>514045</v>
      </c>
      <c r="E18" s="221">
        <v>10916112</v>
      </c>
      <c r="F18" s="222">
        <v>10801148</v>
      </c>
      <c r="G18" s="258">
        <f t="shared" si="0"/>
        <v>114964</v>
      </c>
      <c r="H18" s="223" t="s">
        <v>522</v>
      </c>
      <c r="I18" s="346">
        <v>93417</v>
      </c>
    </row>
    <row r="19" spans="2:9" ht="12.75">
      <c r="B19" s="218">
        <v>244</v>
      </c>
      <c r="C19" s="219" t="s">
        <v>523</v>
      </c>
      <c r="D19" s="220">
        <v>514040</v>
      </c>
      <c r="E19" s="221">
        <v>7059378</v>
      </c>
      <c r="F19" s="222">
        <v>6629035</v>
      </c>
      <c r="G19" s="258">
        <f t="shared" si="0"/>
        <v>430343</v>
      </c>
      <c r="H19" s="223" t="s">
        <v>524</v>
      </c>
      <c r="I19" s="346">
        <v>251575</v>
      </c>
    </row>
    <row r="20" spans="2:9" ht="12.75">
      <c r="B20" s="218">
        <v>245</v>
      </c>
      <c r="C20" s="224" t="s">
        <v>155</v>
      </c>
      <c r="D20" s="220">
        <v>514030</v>
      </c>
      <c r="E20" s="221">
        <v>9074673</v>
      </c>
      <c r="F20" s="222">
        <v>8969502</v>
      </c>
      <c r="G20" s="258">
        <f t="shared" si="0"/>
        <v>105171</v>
      </c>
      <c r="H20" s="223" t="s">
        <v>525</v>
      </c>
      <c r="I20" s="346">
        <v>105157</v>
      </c>
    </row>
    <row r="21" spans="2:9" ht="12.75">
      <c r="B21" s="218">
        <v>246</v>
      </c>
      <c r="C21" s="224" t="s">
        <v>526</v>
      </c>
      <c r="D21" s="220">
        <v>514035</v>
      </c>
      <c r="E21" s="221">
        <v>12431547</v>
      </c>
      <c r="F21" s="226">
        <v>12166126</v>
      </c>
      <c r="G21" s="258">
        <f t="shared" si="0"/>
        <v>265421</v>
      </c>
      <c r="H21" s="223" t="s">
        <v>527</v>
      </c>
      <c r="I21" s="346">
        <v>345335</v>
      </c>
    </row>
    <row r="22" spans="2:9" ht="12.75">
      <c r="B22" s="218">
        <v>247</v>
      </c>
      <c r="C22" s="224" t="s">
        <v>528</v>
      </c>
      <c r="D22" s="220">
        <v>514055</v>
      </c>
      <c r="E22" s="221">
        <v>14155708</v>
      </c>
      <c r="F22" s="222">
        <v>13871840</v>
      </c>
      <c r="G22" s="258">
        <f t="shared" si="0"/>
        <v>283868</v>
      </c>
      <c r="H22" s="223" t="s">
        <v>529</v>
      </c>
      <c r="I22" s="346">
        <v>225850</v>
      </c>
    </row>
    <row r="23" spans="2:9" ht="12.75">
      <c r="B23" s="218">
        <v>327</v>
      </c>
      <c r="C23" s="224" t="s">
        <v>156</v>
      </c>
      <c r="D23" s="220">
        <v>510006</v>
      </c>
      <c r="E23" s="221">
        <v>-220317</v>
      </c>
      <c r="F23" s="222">
        <v>-509006</v>
      </c>
      <c r="G23" s="258">
        <f t="shared" si="0"/>
        <v>288689</v>
      </c>
      <c r="H23" s="223" t="s">
        <v>530</v>
      </c>
      <c r="I23" s="346">
        <v>224705</v>
      </c>
    </row>
    <row r="24" spans="2:8" ht="12.75">
      <c r="B24" s="218"/>
      <c r="C24" s="224"/>
      <c r="D24" s="220"/>
      <c r="E24" s="221"/>
      <c r="F24" s="222"/>
      <c r="G24" s="258"/>
      <c r="H24" s="223"/>
    </row>
    <row r="25" spans="2:9" ht="12.75">
      <c r="B25" s="218">
        <v>301</v>
      </c>
      <c r="C25" s="224" t="s">
        <v>28</v>
      </c>
      <c r="D25" s="220">
        <v>301005</v>
      </c>
      <c r="E25" s="221">
        <f>15353818+28578</f>
        <v>15382396</v>
      </c>
      <c r="F25" s="222">
        <f>15270317+28578+6253</f>
        <v>15305148</v>
      </c>
      <c r="G25" s="258">
        <f t="shared" si="0"/>
        <v>77248</v>
      </c>
      <c r="H25" s="223" t="s">
        <v>531</v>
      </c>
      <c r="I25" s="346">
        <v>162571</v>
      </c>
    </row>
    <row r="26" spans="2:9" ht="12.75">
      <c r="B26" s="218">
        <v>301</v>
      </c>
      <c r="C26" s="224" t="s">
        <v>29</v>
      </c>
      <c r="D26" s="220">
        <v>305005</v>
      </c>
      <c r="E26" s="221">
        <v>1866633</v>
      </c>
      <c r="F26" s="222">
        <v>1639803</v>
      </c>
      <c r="G26" s="258">
        <f t="shared" si="0"/>
        <v>226830</v>
      </c>
      <c r="H26" s="223" t="s">
        <v>531</v>
      </c>
      <c r="I26" s="346">
        <v>158533</v>
      </c>
    </row>
    <row r="27" spans="2:9" ht="12.75">
      <c r="B27" s="218">
        <v>301</v>
      </c>
      <c r="C27" s="224" t="s">
        <v>532</v>
      </c>
      <c r="D27" s="220">
        <v>376060</v>
      </c>
      <c r="E27" s="221">
        <v>234070</v>
      </c>
      <c r="F27" s="222">
        <v>164187</v>
      </c>
      <c r="G27" s="258">
        <f t="shared" si="0"/>
        <v>69883</v>
      </c>
      <c r="H27" s="223" t="s">
        <v>531</v>
      </c>
      <c r="I27" s="346">
        <v>33525</v>
      </c>
    </row>
    <row r="28" spans="2:9" ht="12.75">
      <c r="B28" s="218">
        <v>302</v>
      </c>
      <c r="C28" s="224" t="s">
        <v>30</v>
      </c>
      <c r="D28" s="220">
        <v>301007</v>
      </c>
      <c r="E28" s="221">
        <f>10946955+58734</f>
        <v>11005689</v>
      </c>
      <c r="F28" s="222">
        <f>11118391+29620</f>
        <v>11148011</v>
      </c>
      <c r="G28" s="258">
        <f t="shared" si="0"/>
        <v>-142322</v>
      </c>
      <c r="H28" s="223" t="s">
        <v>533</v>
      </c>
      <c r="I28" s="346">
        <v>275038</v>
      </c>
    </row>
    <row r="29" spans="2:9" ht="12.75">
      <c r="B29" s="218">
        <v>302</v>
      </c>
      <c r="C29" s="224" t="s">
        <v>31</v>
      </c>
      <c r="D29" s="220">
        <v>305007</v>
      </c>
      <c r="E29" s="221">
        <v>2288748</v>
      </c>
      <c r="F29" s="222">
        <v>2192168</v>
      </c>
      <c r="G29" s="258">
        <f t="shared" si="0"/>
        <v>96580</v>
      </c>
      <c r="H29" s="223" t="s">
        <v>533</v>
      </c>
      <c r="I29" s="346">
        <v>51348</v>
      </c>
    </row>
    <row r="30" spans="2:9" ht="12.75">
      <c r="B30" s="218">
        <v>302</v>
      </c>
      <c r="C30" s="224" t="s">
        <v>266</v>
      </c>
      <c r="D30" s="220">
        <v>376061</v>
      </c>
      <c r="E30" s="221">
        <v>230057</v>
      </c>
      <c r="F30" s="222">
        <v>115431</v>
      </c>
      <c r="G30" s="258">
        <f t="shared" si="0"/>
        <v>114626</v>
      </c>
      <c r="H30" s="223" t="s">
        <v>533</v>
      </c>
      <c r="I30" s="346">
        <v>29507</v>
      </c>
    </row>
    <row r="31" spans="2:9" ht="12.75">
      <c r="B31" s="218">
        <v>303</v>
      </c>
      <c r="C31" s="224" t="s">
        <v>32</v>
      </c>
      <c r="D31" s="220">
        <v>301009</v>
      </c>
      <c r="E31" s="221">
        <v>14395564</v>
      </c>
      <c r="F31" s="222">
        <f>15372263+295360</f>
        <v>15667623</v>
      </c>
      <c r="G31" s="258">
        <f t="shared" si="0"/>
        <v>-1272059</v>
      </c>
      <c r="H31" s="223" t="s">
        <v>534</v>
      </c>
      <c r="I31" s="346">
        <v>823244</v>
      </c>
    </row>
    <row r="32" spans="2:9" ht="12.75">
      <c r="B32" s="218">
        <v>303</v>
      </c>
      <c r="C32" s="224" t="s">
        <v>33</v>
      </c>
      <c r="D32" s="220">
        <v>305009</v>
      </c>
      <c r="E32" s="221">
        <v>1997215</v>
      </c>
      <c r="F32" s="222">
        <v>1696971</v>
      </c>
      <c r="G32" s="258">
        <f t="shared" si="0"/>
        <v>300244</v>
      </c>
      <c r="H32" s="223" t="s">
        <v>534</v>
      </c>
      <c r="I32" s="346">
        <v>459325</v>
      </c>
    </row>
    <row r="33" spans="2:9" ht="12.75">
      <c r="B33" s="218">
        <v>303</v>
      </c>
      <c r="C33" s="224" t="s">
        <v>267</v>
      </c>
      <c r="D33" s="220">
        <v>376062</v>
      </c>
      <c r="E33" s="221">
        <v>354875</v>
      </c>
      <c r="F33" s="222">
        <v>72597</v>
      </c>
      <c r="G33" s="258">
        <f t="shared" si="0"/>
        <v>282278</v>
      </c>
      <c r="H33" s="223" t="s">
        <v>534</v>
      </c>
      <c r="I33" s="346">
        <v>44981</v>
      </c>
    </row>
    <row r="34" spans="2:9" ht="12.75">
      <c r="B34" s="218">
        <v>304</v>
      </c>
      <c r="C34" s="219" t="s">
        <v>535</v>
      </c>
      <c r="D34" s="220">
        <v>514060</v>
      </c>
      <c r="E34" s="221">
        <v>2407566</v>
      </c>
      <c r="F34" s="222">
        <v>2153430</v>
      </c>
      <c r="G34" s="258">
        <f t="shared" si="0"/>
        <v>254136</v>
      </c>
      <c r="H34" s="223" t="s">
        <v>536</v>
      </c>
      <c r="I34" s="346">
        <v>186686</v>
      </c>
    </row>
    <row r="35" spans="2:9" ht="12.75">
      <c r="B35" s="227">
        <v>305</v>
      </c>
      <c r="C35" s="228" t="s">
        <v>34</v>
      </c>
      <c r="D35" s="229">
        <v>301029</v>
      </c>
      <c r="E35" s="221">
        <v>29416208</v>
      </c>
      <c r="F35" s="222">
        <v>29469222</v>
      </c>
      <c r="G35" s="258">
        <f t="shared" si="0"/>
        <v>-53014</v>
      </c>
      <c r="H35" s="230" t="s">
        <v>537</v>
      </c>
      <c r="I35" s="346">
        <v>-869871</v>
      </c>
    </row>
    <row r="36" spans="2:9" ht="12.75">
      <c r="B36" s="218">
        <v>305</v>
      </c>
      <c r="C36" s="219" t="s">
        <v>157</v>
      </c>
      <c r="D36" s="220">
        <v>305055</v>
      </c>
      <c r="E36" s="221">
        <f>4641919+29619</f>
        <v>4671538</v>
      </c>
      <c r="F36" s="222">
        <f>4825942+29276</f>
        <v>4855218</v>
      </c>
      <c r="G36" s="258">
        <f t="shared" si="0"/>
        <v>-183680</v>
      </c>
      <c r="H36" s="230" t="s">
        <v>537</v>
      </c>
      <c r="I36" s="346">
        <v>399212</v>
      </c>
    </row>
    <row r="37" spans="2:9" ht="12.75">
      <c r="B37" s="218">
        <v>305</v>
      </c>
      <c r="C37" s="219" t="s">
        <v>538</v>
      </c>
      <c r="D37" s="220">
        <v>305026</v>
      </c>
      <c r="E37" s="231">
        <f>3278089+197820</f>
        <v>3475909</v>
      </c>
      <c r="F37" s="226">
        <f>3322030+146843</f>
        <v>3468873</v>
      </c>
      <c r="G37" s="258">
        <f t="shared" si="0"/>
        <v>7036</v>
      </c>
      <c r="H37" s="230" t="s">
        <v>537</v>
      </c>
      <c r="I37" s="346">
        <f>297916+10000-61760</f>
        <v>246156</v>
      </c>
    </row>
    <row r="38" spans="2:9" ht="12.75">
      <c r="B38" s="218">
        <v>305</v>
      </c>
      <c r="C38" s="219" t="s">
        <v>539</v>
      </c>
      <c r="D38" s="220">
        <v>305028</v>
      </c>
      <c r="E38" s="231">
        <v>356117</v>
      </c>
      <c r="F38" s="226">
        <v>375929</v>
      </c>
      <c r="G38" s="258">
        <f t="shared" si="0"/>
        <v>-19812</v>
      </c>
      <c r="H38" s="230" t="s">
        <v>537</v>
      </c>
      <c r="I38" s="346">
        <v>-38407</v>
      </c>
    </row>
    <row r="39" spans="2:9" ht="12.75">
      <c r="B39" s="218">
        <v>306</v>
      </c>
      <c r="C39" s="224" t="s">
        <v>35</v>
      </c>
      <c r="D39" s="220">
        <v>301041</v>
      </c>
      <c r="E39" s="221">
        <v>35766687</v>
      </c>
      <c r="F39" s="222">
        <v>37313317</v>
      </c>
      <c r="G39" s="258">
        <f t="shared" si="0"/>
        <v>-1546630</v>
      </c>
      <c r="H39" s="223" t="s">
        <v>540</v>
      </c>
      <c r="I39" s="346">
        <v>150142</v>
      </c>
    </row>
    <row r="40" spans="2:9" ht="12.75">
      <c r="B40" s="218">
        <v>306</v>
      </c>
      <c r="C40" s="224" t="s">
        <v>36</v>
      </c>
      <c r="D40" s="220">
        <v>305039</v>
      </c>
      <c r="E40" s="221">
        <v>4766844</v>
      </c>
      <c r="F40" s="222">
        <v>4581684</v>
      </c>
      <c r="G40" s="258">
        <f t="shared" si="0"/>
        <v>185160</v>
      </c>
      <c r="H40" s="223" t="s">
        <v>540</v>
      </c>
      <c r="I40" s="346">
        <v>72647</v>
      </c>
    </row>
    <row r="41" spans="2:9" ht="12.75">
      <c r="B41" s="218">
        <v>306</v>
      </c>
      <c r="C41" s="224" t="s">
        <v>268</v>
      </c>
      <c r="D41" s="220">
        <v>376064</v>
      </c>
      <c r="E41" s="221">
        <v>-11507</v>
      </c>
      <c r="F41" s="222">
        <v>251913</v>
      </c>
      <c r="G41" s="258">
        <f t="shared" si="0"/>
        <v>-263420</v>
      </c>
      <c r="H41" s="223" t="s">
        <v>540</v>
      </c>
      <c r="I41" s="346">
        <v>-229462</v>
      </c>
    </row>
    <row r="42" spans="2:9" ht="12.75">
      <c r="B42" s="218">
        <v>308</v>
      </c>
      <c r="C42" s="224" t="s">
        <v>37</v>
      </c>
      <c r="D42" s="220">
        <v>301015</v>
      </c>
      <c r="E42" s="221">
        <v>5336458</v>
      </c>
      <c r="F42" s="222">
        <v>5469136</v>
      </c>
      <c r="G42" s="258">
        <f t="shared" si="0"/>
        <v>-132678</v>
      </c>
      <c r="H42" s="223" t="s">
        <v>541</v>
      </c>
      <c r="I42" s="346">
        <v>-72948</v>
      </c>
    </row>
    <row r="43" spans="2:9" ht="12.75">
      <c r="B43" s="218">
        <v>308</v>
      </c>
      <c r="C43" s="224" t="s">
        <v>38</v>
      </c>
      <c r="D43" s="220">
        <v>305015</v>
      </c>
      <c r="E43" s="221">
        <v>1363726</v>
      </c>
      <c r="F43" s="222">
        <v>1229563</v>
      </c>
      <c r="G43" s="258">
        <f t="shared" si="0"/>
        <v>134163</v>
      </c>
      <c r="H43" s="223" t="s">
        <v>541</v>
      </c>
      <c r="I43" s="346">
        <v>195906</v>
      </c>
    </row>
    <row r="44" spans="2:9" ht="12.75">
      <c r="B44" s="218">
        <v>308</v>
      </c>
      <c r="C44" s="224" t="s">
        <v>269</v>
      </c>
      <c r="D44" s="220">
        <v>376065</v>
      </c>
      <c r="E44" s="221">
        <v>273678</v>
      </c>
      <c r="F44" s="222">
        <v>257075</v>
      </c>
      <c r="G44" s="258">
        <f t="shared" si="0"/>
        <v>16603</v>
      </c>
      <c r="H44" s="223" t="s">
        <v>541</v>
      </c>
      <c r="I44" s="346">
        <v>73128</v>
      </c>
    </row>
    <row r="45" spans="2:9" ht="12.75">
      <c r="B45" s="218">
        <v>309</v>
      </c>
      <c r="C45" s="224" t="s">
        <v>39</v>
      </c>
      <c r="D45" s="220">
        <v>301017</v>
      </c>
      <c r="E45" s="221">
        <f>7163502+29291</f>
        <v>7192793</v>
      </c>
      <c r="F45" s="222">
        <f>7173715+599</f>
        <v>7174314</v>
      </c>
      <c r="G45" s="258">
        <f t="shared" si="0"/>
        <v>18479</v>
      </c>
      <c r="H45" s="223" t="s">
        <v>542</v>
      </c>
      <c r="I45" s="346">
        <v>-194762</v>
      </c>
    </row>
    <row r="46" spans="2:9" ht="12.75">
      <c r="B46" s="218">
        <v>309</v>
      </c>
      <c r="C46" s="224" t="s">
        <v>40</v>
      </c>
      <c r="D46" s="220">
        <v>305017</v>
      </c>
      <c r="E46" s="221">
        <v>1286755</v>
      </c>
      <c r="F46" s="222">
        <v>1046716</v>
      </c>
      <c r="G46" s="258">
        <f t="shared" si="0"/>
        <v>240039</v>
      </c>
      <c r="H46" s="223" t="s">
        <v>542</v>
      </c>
      <c r="I46" s="346">
        <v>193556</v>
      </c>
    </row>
    <row r="47" spans="2:9" ht="12.75">
      <c r="B47" s="218">
        <v>309</v>
      </c>
      <c r="C47" s="224" t="s">
        <v>270</v>
      </c>
      <c r="D47" s="220">
        <v>376066</v>
      </c>
      <c r="E47" s="221">
        <v>444458</v>
      </c>
      <c r="F47" s="222">
        <v>265998</v>
      </c>
      <c r="G47" s="258">
        <f t="shared" si="0"/>
        <v>178460</v>
      </c>
      <c r="H47" s="223" t="s">
        <v>542</v>
      </c>
      <c r="I47" s="346">
        <v>158191</v>
      </c>
    </row>
    <row r="48" spans="2:9" ht="12.75">
      <c r="B48" s="218">
        <v>311</v>
      </c>
      <c r="C48" s="224" t="s">
        <v>738</v>
      </c>
      <c r="D48" s="220">
        <v>301021</v>
      </c>
      <c r="E48" s="221">
        <v>7850348</v>
      </c>
      <c r="F48" s="222">
        <v>7690275</v>
      </c>
      <c r="G48" s="258">
        <f t="shared" si="0"/>
        <v>160073</v>
      </c>
      <c r="H48" s="223" t="s">
        <v>543</v>
      </c>
      <c r="I48" s="346">
        <v>90879</v>
      </c>
    </row>
    <row r="49" spans="2:9" ht="12.75">
      <c r="B49" s="218">
        <v>311</v>
      </c>
      <c r="C49" s="224" t="s">
        <v>735</v>
      </c>
      <c r="D49" s="220">
        <v>305019</v>
      </c>
      <c r="E49" s="221">
        <v>1300087</v>
      </c>
      <c r="F49" s="222">
        <v>1066135</v>
      </c>
      <c r="G49" s="258">
        <f t="shared" si="0"/>
        <v>233952</v>
      </c>
      <c r="H49" s="223" t="s">
        <v>543</v>
      </c>
      <c r="I49" s="346">
        <v>302318</v>
      </c>
    </row>
    <row r="50" spans="2:9" ht="12.75">
      <c r="B50" s="218">
        <v>311</v>
      </c>
      <c r="C50" s="224" t="s">
        <v>736</v>
      </c>
      <c r="D50" s="220">
        <v>376067</v>
      </c>
      <c r="E50" s="221">
        <v>349238</v>
      </c>
      <c r="F50" s="222">
        <v>306766</v>
      </c>
      <c r="G50" s="258">
        <f t="shared" si="0"/>
        <v>42472</v>
      </c>
      <c r="H50" s="223" t="s">
        <v>543</v>
      </c>
      <c r="I50" s="346">
        <v>10129</v>
      </c>
    </row>
    <row r="51" spans="2:9" ht="12.75">
      <c r="B51" s="218">
        <v>312</v>
      </c>
      <c r="C51" s="224" t="s">
        <v>41</v>
      </c>
      <c r="D51" s="220">
        <v>301043</v>
      </c>
      <c r="E51" s="221">
        <v>24516159</v>
      </c>
      <c r="F51" s="222">
        <v>25444431</v>
      </c>
      <c r="G51" s="258">
        <f t="shared" si="0"/>
        <v>-928272</v>
      </c>
      <c r="H51" s="223" t="s">
        <v>544</v>
      </c>
      <c r="I51" s="346">
        <v>328991</v>
      </c>
    </row>
    <row r="52" spans="2:9" ht="12.75">
      <c r="B52" s="218">
        <v>312</v>
      </c>
      <c r="C52" s="224" t="s">
        <v>42</v>
      </c>
      <c r="D52" s="220">
        <v>301051</v>
      </c>
      <c r="E52" s="221">
        <v>25479343</v>
      </c>
      <c r="F52" s="222">
        <v>25260328</v>
      </c>
      <c r="G52" s="258">
        <f t="shared" si="0"/>
        <v>219015</v>
      </c>
      <c r="H52" s="223" t="s">
        <v>544</v>
      </c>
      <c r="I52" s="346">
        <v>677516</v>
      </c>
    </row>
    <row r="53" spans="2:9" ht="12.75">
      <c r="B53" s="218">
        <v>312</v>
      </c>
      <c r="C53" s="224" t="s">
        <v>43</v>
      </c>
      <c r="D53" s="220">
        <v>305041</v>
      </c>
      <c r="E53" s="221">
        <v>3335871</v>
      </c>
      <c r="F53" s="222">
        <v>3278961</v>
      </c>
      <c r="G53" s="258">
        <f t="shared" si="0"/>
        <v>56910</v>
      </c>
      <c r="H53" s="223" t="s">
        <v>544</v>
      </c>
      <c r="I53" s="346">
        <v>123276</v>
      </c>
    </row>
    <row r="54" spans="2:9" ht="12.75">
      <c r="B54" s="218">
        <v>312</v>
      </c>
      <c r="C54" s="224" t="s">
        <v>271</v>
      </c>
      <c r="D54" s="220">
        <v>376068</v>
      </c>
      <c r="E54" s="221">
        <v>432350</v>
      </c>
      <c r="F54" s="222">
        <v>316662</v>
      </c>
      <c r="G54" s="258">
        <f t="shared" si="0"/>
        <v>115688</v>
      </c>
      <c r="H54" s="223" t="s">
        <v>544</v>
      </c>
      <c r="I54" s="346">
        <v>130236</v>
      </c>
    </row>
    <row r="55" spans="2:9" ht="12.75">
      <c r="B55" s="218">
        <v>313</v>
      </c>
      <c r="C55" s="224" t="s">
        <v>44</v>
      </c>
      <c r="D55" s="220">
        <v>301023</v>
      </c>
      <c r="E55" s="221">
        <v>8673159</v>
      </c>
      <c r="F55" s="222">
        <v>8497982</v>
      </c>
      <c r="G55" s="258">
        <f t="shared" si="0"/>
        <v>175177</v>
      </c>
      <c r="H55" s="223" t="s">
        <v>545</v>
      </c>
      <c r="I55" s="346">
        <v>409549</v>
      </c>
    </row>
    <row r="56" spans="2:9" ht="12.75">
      <c r="B56" s="218">
        <v>313</v>
      </c>
      <c r="C56" s="224" t="s">
        <v>45</v>
      </c>
      <c r="D56" s="220">
        <v>305021</v>
      </c>
      <c r="E56" s="221">
        <v>1151197</v>
      </c>
      <c r="F56" s="222">
        <v>1150344</v>
      </c>
      <c r="G56" s="258">
        <f>E56-F56</f>
        <v>853</v>
      </c>
      <c r="H56" s="223" t="s">
        <v>545</v>
      </c>
      <c r="I56" s="346">
        <v>78341</v>
      </c>
    </row>
    <row r="57" spans="2:9" ht="12.75">
      <c r="B57" s="218">
        <v>313</v>
      </c>
      <c r="C57" s="224" t="s">
        <v>272</v>
      </c>
      <c r="D57" s="220">
        <v>376069</v>
      </c>
      <c r="E57" s="221">
        <v>182298</v>
      </c>
      <c r="F57" s="222">
        <v>183584</v>
      </c>
      <c r="G57" s="258">
        <f>E57-F57</f>
        <v>-1286</v>
      </c>
      <c r="H57" s="223" t="s">
        <v>545</v>
      </c>
      <c r="I57" s="346">
        <v>-18252</v>
      </c>
    </row>
    <row r="58" spans="2:9" ht="12.75">
      <c r="B58" s="218">
        <v>314</v>
      </c>
      <c r="C58" s="224" t="s">
        <v>46</v>
      </c>
      <c r="D58" s="220">
        <v>301025</v>
      </c>
      <c r="E58" s="221">
        <f>16022150+72699</f>
        <v>16094849</v>
      </c>
      <c r="F58" s="222">
        <v>16034878</v>
      </c>
      <c r="G58" s="258">
        <f t="shared" si="0"/>
        <v>59971</v>
      </c>
      <c r="H58" s="223" t="s">
        <v>546</v>
      </c>
      <c r="I58" s="346">
        <v>463351</v>
      </c>
    </row>
    <row r="59" spans="2:9" ht="12.75">
      <c r="B59" s="218">
        <v>314</v>
      </c>
      <c r="C59" s="224" t="s">
        <v>48</v>
      </c>
      <c r="D59" s="220">
        <v>301026</v>
      </c>
      <c r="E59" s="221">
        <v>2968182</v>
      </c>
      <c r="F59" s="222">
        <v>2986419</v>
      </c>
      <c r="G59" s="258">
        <f t="shared" si="0"/>
        <v>-18237</v>
      </c>
      <c r="H59" s="223" t="s">
        <v>546</v>
      </c>
      <c r="I59" s="346">
        <v>55217</v>
      </c>
    </row>
    <row r="60" spans="2:9" ht="12.75">
      <c r="B60" s="218">
        <v>314</v>
      </c>
      <c r="C60" s="224" t="s">
        <v>47</v>
      </c>
      <c r="D60" s="220">
        <v>305023</v>
      </c>
      <c r="E60" s="221">
        <v>2127555</v>
      </c>
      <c r="F60" s="222">
        <v>1432466</v>
      </c>
      <c r="G60" s="258">
        <f t="shared" si="0"/>
        <v>695089</v>
      </c>
      <c r="H60" s="223" t="s">
        <v>546</v>
      </c>
      <c r="I60" s="346">
        <v>385786</v>
      </c>
    </row>
    <row r="61" spans="2:9" ht="12.75">
      <c r="B61" s="218">
        <v>314</v>
      </c>
      <c r="C61" s="224" t="s">
        <v>273</v>
      </c>
      <c r="D61" s="220">
        <v>376070</v>
      </c>
      <c r="E61" s="221">
        <v>306149</v>
      </c>
      <c r="F61" s="222">
        <v>256765</v>
      </c>
      <c r="G61" s="258">
        <f t="shared" si="0"/>
        <v>49384</v>
      </c>
      <c r="H61" s="223" t="s">
        <v>546</v>
      </c>
      <c r="I61" s="346">
        <v>-12652</v>
      </c>
    </row>
    <row r="62" spans="2:9" ht="12.75">
      <c r="B62" s="218">
        <v>315</v>
      </c>
      <c r="C62" s="224" t="s">
        <v>732</v>
      </c>
      <c r="D62" s="220">
        <v>301027</v>
      </c>
      <c r="E62" s="221">
        <v>17322970</v>
      </c>
      <c r="F62" s="222">
        <v>18239599</v>
      </c>
      <c r="G62" s="258">
        <f t="shared" si="0"/>
        <v>-916629</v>
      </c>
      <c r="H62" s="223" t="s">
        <v>547</v>
      </c>
      <c r="I62" s="346">
        <v>-753943</v>
      </c>
    </row>
    <row r="63" spans="2:9" ht="12.75">
      <c r="B63" s="218">
        <v>315</v>
      </c>
      <c r="C63" s="224" t="s">
        <v>733</v>
      </c>
      <c r="D63" s="220">
        <v>305025</v>
      </c>
      <c r="E63" s="221">
        <v>1554611</v>
      </c>
      <c r="F63" s="222">
        <v>1646303</v>
      </c>
      <c r="G63" s="258">
        <f t="shared" si="0"/>
        <v>-91692</v>
      </c>
      <c r="H63" s="223" t="s">
        <v>547</v>
      </c>
      <c r="I63" s="346">
        <v>-78578</v>
      </c>
    </row>
    <row r="64" spans="2:9" ht="12.75">
      <c r="B64" s="218">
        <v>315</v>
      </c>
      <c r="C64" s="224" t="s">
        <v>734</v>
      </c>
      <c r="D64" s="220">
        <v>376071</v>
      </c>
      <c r="E64" s="221">
        <v>412346</v>
      </c>
      <c r="F64" s="222">
        <v>376461</v>
      </c>
      <c r="G64" s="258">
        <f t="shared" si="0"/>
        <v>35885</v>
      </c>
      <c r="H64" s="223" t="s">
        <v>547</v>
      </c>
      <c r="I64" s="346">
        <v>-7408</v>
      </c>
    </row>
    <row r="65" spans="2:9" ht="12.75">
      <c r="B65" s="218">
        <v>316</v>
      </c>
      <c r="C65" s="224" t="s">
        <v>49</v>
      </c>
      <c r="D65" s="220">
        <v>301031</v>
      </c>
      <c r="E65" s="221">
        <f>8896607+46259</f>
        <v>8942866</v>
      </c>
      <c r="F65" s="222">
        <f>9200981+45986</f>
        <v>9246967</v>
      </c>
      <c r="G65" s="258">
        <f t="shared" si="0"/>
        <v>-304101</v>
      </c>
      <c r="H65" s="223" t="s">
        <v>548</v>
      </c>
      <c r="I65" s="346">
        <v>-418019</v>
      </c>
    </row>
    <row r="66" spans="2:9" ht="12.75">
      <c r="B66" s="218">
        <v>316</v>
      </c>
      <c r="C66" s="224" t="s">
        <v>50</v>
      </c>
      <c r="D66" s="220">
        <v>305029</v>
      </c>
      <c r="E66" s="221">
        <v>1479687</v>
      </c>
      <c r="F66" s="222">
        <v>1237838</v>
      </c>
      <c r="G66" s="258">
        <f t="shared" si="0"/>
        <v>241849</v>
      </c>
      <c r="H66" s="223" t="s">
        <v>548</v>
      </c>
      <c r="I66" s="346">
        <v>258906</v>
      </c>
    </row>
    <row r="67" spans="2:9" ht="12.75">
      <c r="B67" s="218">
        <v>316</v>
      </c>
      <c r="C67" s="224" t="s">
        <v>274</v>
      </c>
      <c r="D67" s="220">
        <v>376072</v>
      </c>
      <c r="E67" s="221">
        <v>201444</v>
      </c>
      <c r="F67" s="222">
        <v>233962</v>
      </c>
      <c r="G67" s="258">
        <f t="shared" si="0"/>
        <v>-32518</v>
      </c>
      <c r="H67" s="223" t="s">
        <v>548</v>
      </c>
      <c r="I67" s="346">
        <v>46948</v>
      </c>
    </row>
    <row r="68" spans="2:9" ht="12.75">
      <c r="B68" s="218">
        <v>317</v>
      </c>
      <c r="C68" s="224" t="s">
        <v>51</v>
      </c>
      <c r="D68" s="220">
        <v>301053</v>
      </c>
      <c r="E68" s="221">
        <f>28751600+96017</f>
        <v>28847617</v>
      </c>
      <c r="F68" s="222">
        <v>27532965</v>
      </c>
      <c r="G68" s="258">
        <f t="shared" si="0"/>
        <v>1314652</v>
      </c>
      <c r="H68" s="223" t="s">
        <v>549</v>
      </c>
      <c r="I68" s="346">
        <v>689545</v>
      </c>
    </row>
    <row r="69" spans="2:9" ht="12.75">
      <c r="B69" s="218">
        <v>317</v>
      </c>
      <c r="C69" s="224" t="s">
        <v>52</v>
      </c>
      <c r="D69" s="220">
        <v>305037</v>
      </c>
      <c r="E69" s="221">
        <v>3946727</v>
      </c>
      <c r="F69" s="222">
        <v>3436893</v>
      </c>
      <c r="G69" s="258">
        <f t="shared" si="0"/>
        <v>509834</v>
      </c>
      <c r="H69" s="223" t="s">
        <v>549</v>
      </c>
      <c r="I69" s="346">
        <v>436041</v>
      </c>
    </row>
    <row r="70" spans="2:9" ht="12.75">
      <c r="B70" s="218">
        <v>317</v>
      </c>
      <c r="C70" s="224" t="s">
        <v>275</v>
      </c>
      <c r="D70" s="220">
        <v>376073</v>
      </c>
      <c r="E70" s="221">
        <v>199420</v>
      </c>
      <c r="F70" s="222">
        <f>219580+4714</f>
        <v>224294</v>
      </c>
      <c r="G70" s="258">
        <f t="shared" si="0"/>
        <v>-24874</v>
      </c>
      <c r="H70" s="223" t="s">
        <v>549</v>
      </c>
      <c r="I70" s="346">
        <v>37031</v>
      </c>
    </row>
    <row r="71" spans="2:9" ht="12.75">
      <c r="B71" s="218">
        <v>319</v>
      </c>
      <c r="C71" s="224" t="s">
        <v>53</v>
      </c>
      <c r="D71" s="220">
        <v>301037</v>
      </c>
      <c r="E71" s="221">
        <v>7454097</v>
      </c>
      <c r="F71" s="222">
        <v>7541979</v>
      </c>
      <c r="G71" s="258">
        <f t="shared" si="0"/>
        <v>-87882</v>
      </c>
      <c r="H71" s="223" t="s">
        <v>550</v>
      </c>
      <c r="I71" s="346">
        <v>-119042</v>
      </c>
    </row>
    <row r="72" spans="2:9" ht="12.75">
      <c r="B72" s="218">
        <v>319</v>
      </c>
      <c r="C72" s="224" t="s">
        <v>54</v>
      </c>
      <c r="D72" s="220">
        <v>305033</v>
      </c>
      <c r="E72" s="221">
        <v>1212210</v>
      </c>
      <c r="F72" s="222">
        <v>1102590</v>
      </c>
      <c r="G72" s="258">
        <f t="shared" si="0"/>
        <v>109620</v>
      </c>
      <c r="H72" s="223" t="s">
        <v>550</v>
      </c>
      <c r="I72" s="346">
        <v>160253</v>
      </c>
    </row>
    <row r="73" spans="2:9" ht="12.75">
      <c r="B73" s="218">
        <v>319</v>
      </c>
      <c r="C73" s="224" t="s">
        <v>276</v>
      </c>
      <c r="D73" s="220">
        <v>376074</v>
      </c>
      <c r="E73" s="221">
        <v>189878</v>
      </c>
      <c r="F73" s="222">
        <v>155961</v>
      </c>
      <c r="G73" s="258">
        <f t="shared" si="0"/>
        <v>33917</v>
      </c>
      <c r="H73" s="223" t="s">
        <v>550</v>
      </c>
      <c r="I73" s="346">
        <v>-10672</v>
      </c>
    </row>
    <row r="74" spans="2:9" ht="12.75">
      <c r="B74" s="218">
        <v>320</v>
      </c>
      <c r="C74" s="224" t="s">
        <v>55</v>
      </c>
      <c r="D74" s="220">
        <v>301033</v>
      </c>
      <c r="E74" s="221">
        <f>7314100+50039</f>
        <v>7364139</v>
      </c>
      <c r="F74" s="222">
        <v>7183561</v>
      </c>
      <c r="G74" s="258">
        <f t="shared" si="0"/>
        <v>180578</v>
      </c>
      <c r="H74" s="223" t="s">
        <v>551</v>
      </c>
      <c r="I74" s="346">
        <v>-303262</v>
      </c>
    </row>
    <row r="75" spans="2:9" ht="12.75">
      <c r="B75" s="218">
        <v>320</v>
      </c>
      <c r="C75" s="224" t="s">
        <v>127</v>
      </c>
      <c r="D75" s="220">
        <v>305031</v>
      </c>
      <c r="E75" s="221">
        <v>1798106</v>
      </c>
      <c r="F75" s="222">
        <v>1423387</v>
      </c>
      <c r="G75" s="258">
        <f t="shared" si="0"/>
        <v>374719</v>
      </c>
      <c r="H75" s="223" t="s">
        <v>551</v>
      </c>
      <c r="I75" s="346">
        <v>222892</v>
      </c>
    </row>
    <row r="76" spans="2:9" ht="12.75">
      <c r="B76" s="218">
        <v>320</v>
      </c>
      <c r="C76" s="224" t="s">
        <v>277</v>
      </c>
      <c r="D76" s="220">
        <v>376075</v>
      </c>
      <c r="E76" s="221">
        <v>241077</v>
      </c>
      <c r="F76" s="222">
        <v>175793</v>
      </c>
      <c r="G76" s="258">
        <f t="shared" si="0"/>
        <v>65284</v>
      </c>
      <c r="H76" s="223" t="s">
        <v>551</v>
      </c>
      <c r="I76" s="346">
        <v>40491</v>
      </c>
    </row>
    <row r="77" spans="2:9" ht="12.75">
      <c r="B77" s="218">
        <v>321</v>
      </c>
      <c r="C77" s="224" t="s">
        <v>56</v>
      </c>
      <c r="D77" s="220">
        <v>301039</v>
      </c>
      <c r="E77" s="221">
        <v>14775030</v>
      </c>
      <c r="F77" s="222">
        <v>15295341</v>
      </c>
      <c r="G77" s="258">
        <f t="shared" si="0"/>
        <v>-520311</v>
      </c>
      <c r="H77" s="223" t="s">
        <v>552</v>
      </c>
      <c r="I77" s="346">
        <v>-355714</v>
      </c>
    </row>
    <row r="78" spans="2:9" ht="12.75">
      <c r="B78" s="218">
        <v>321</v>
      </c>
      <c r="C78" s="224" t="s">
        <v>57</v>
      </c>
      <c r="D78" s="220">
        <v>301042</v>
      </c>
      <c r="E78" s="221">
        <v>16355829</v>
      </c>
      <c r="F78" s="222">
        <v>16593870</v>
      </c>
      <c r="G78" s="258">
        <f t="shared" si="0"/>
        <v>-238041</v>
      </c>
      <c r="H78" s="223" t="s">
        <v>551</v>
      </c>
      <c r="I78" s="346">
        <v>-133442</v>
      </c>
    </row>
    <row r="79" spans="2:9" ht="12.75">
      <c r="B79" s="218">
        <v>321</v>
      </c>
      <c r="C79" s="224" t="s">
        <v>58</v>
      </c>
      <c r="D79" s="220">
        <v>305035</v>
      </c>
      <c r="E79" s="221">
        <v>2011519</v>
      </c>
      <c r="F79" s="222">
        <v>2045466</v>
      </c>
      <c r="G79" s="258">
        <f t="shared" si="0"/>
        <v>-33947</v>
      </c>
      <c r="H79" s="223" t="s">
        <v>551</v>
      </c>
      <c r="I79" s="346">
        <v>-79068</v>
      </c>
    </row>
    <row r="80" spans="2:9" ht="12.75">
      <c r="B80" s="218">
        <v>321</v>
      </c>
      <c r="C80" s="224" t="s">
        <v>278</v>
      </c>
      <c r="D80" s="220">
        <v>376076</v>
      </c>
      <c r="E80" s="221">
        <v>274875</v>
      </c>
      <c r="F80" s="222">
        <v>231138</v>
      </c>
      <c r="G80" s="258">
        <f t="shared" si="0"/>
        <v>43737</v>
      </c>
      <c r="H80" s="223" t="s">
        <v>551</v>
      </c>
      <c r="I80" s="346">
        <v>28945</v>
      </c>
    </row>
    <row r="81" spans="2:9" ht="12.75">
      <c r="B81" s="218">
        <v>322</v>
      </c>
      <c r="C81" s="224" t="s">
        <v>158</v>
      </c>
      <c r="D81" s="220">
        <v>301055</v>
      </c>
      <c r="E81" s="221">
        <f>28960863+5432</f>
        <v>28966295</v>
      </c>
      <c r="F81" s="222">
        <f>29161013+5432</f>
        <v>29166445</v>
      </c>
      <c r="G81" s="258">
        <f t="shared" si="0"/>
        <v>-200150</v>
      </c>
      <c r="H81" s="223" t="s">
        <v>553</v>
      </c>
      <c r="I81" s="346">
        <v>-315467</v>
      </c>
    </row>
    <row r="82" spans="2:9" ht="12.75">
      <c r="B82" s="218">
        <v>322</v>
      </c>
      <c r="C82" s="224" t="s">
        <v>159</v>
      </c>
      <c r="D82" s="220">
        <v>305051</v>
      </c>
      <c r="E82" s="221">
        <v>4843069</v>
      </c>
      <c r="F82" s="222">
        <v>4665791</v>
      </c>
      <c r="G82" s="258">
        <f t="shared" si="0"/>
        <v>177278</v>
      </c>
      <c r="H82" s="223" t="s">
        <v>553</v>
      </c>
      <c r="I82" s="346">
        <v>291718</v>
      </c>
    </row>
    <row r="83" spans="2:9" ht="12.75">
      <c r="B83" s="218">
        <v>322</v>
      </c>
      <c r="C83" s="224" t="s">
        <v>279</v>
      </c>
      <c r="D83" s="220">
        <v>376077</v>
      </c>
      <c r="E83" s="221">
        <v>446446</v>
      </c>
      <c r="F83" s="222">
        <v>411889</v>
      </c>
      <c r="G83" s="258">
        <f t="shared" si="0"/>
        <v>34557</v>
      </c>
      <c r="H83" s="223" t="s">
        <v>553</v>
      </c>
      <c r="I83" s="346">
        <v>-34923</v>
      </c>
    </row>
    <row r="84" spans="2:9" ht="12.75">
      <c r="B84" s="218">
        <v>324</v>
      </c>
      <c r="C84" s="224" t="s">
        <v>59</v>
      </c>
      <c r="D84" s="220">
        <v>301059</v>
      </c>
      <c r="E84" s="221">
        <f>8782841+50266</f>
        <v>8833107</v>
      </c>
      <c r="F84" s="222">
        <f>8503508+3500</f>
        <v>8507008</v>
      </c>
      <c r="G84" s="258">
        <f t="shared" si="0"/>
        <v>326099</v>
      </c>
      <c r="H84" s="223" t="s">
        <v>554</v>
      </c>
      <c r="I84" s="346">
        <v>408427</v>
      </c>
    </row>
    <row r="85" spans="2:9" ht="12.75">
      <c r="B85" s="218">
        <v>324</v>
      </c>
      <c r="C85" s="224" t="s">
        <v>60</v>
      </c>
      <c r="D85" s="220">
        <v>305053</v>
      </c>
      <c r="E85" s="221">
        <v>2341014</v>
      </c>
      <c r="F85" s="222">
        <v>1365601</v>
      </c>
      <c r="G85" s="258">
        <f t="shared" si="0"/>
        <v>975413</v>
      </c>
      <c r="H85" s="223" t="s">
        <v>554</v>
      </c>
      <c r="I85" s="346">
        <v>810039</v>
      </c>
    </row>
    <row r="86" spans="2:9" ht="12.75">
      <c r="B86" s="218">
        <v>324</v>
      </c>
      <c r="C86" s="224" t="s">
        <v>280</v>
      </c>
      <c r="D86" s="220">
        <v>376078</v>
      </c>
      <c r="E86" s="221">
        <v>444087</v>
      </c>
      <c r="F86" s="222">
        <v>242354</v>
      </c>
      <c r="G86" s="258">
        <f t="shared" si="0"/>
        <v>201733</v>
      </c>
      <c r="H86" s="223" t="s">
        <v>554</v>
      </c>
      <c r="I86" s="346">
        <v>124794</v>
      </c>
    </row>
    <row r="87" spans="2:9" ht="12.75">
      <c r="B87" s="218">
        <v>325</v>
      </c>
      <c r="C87" s="224" t="s">
        <v>61</v>
      </c>
      <c r="D87" s="220">
        <v>378001</v>
      </c>
      <c r="E87" s="221">
        <v>8892752</v>
      </c>
      <c r="F87" s="222">
        <v>8899719</v>
      </c>
      <c r="G87" s="258">
        <f t="shared" si="0"/>
        <v>-6967</v>
      </c>
      <c r="H87" s="223" t="s">
        <v>555</v>
      </c>
      <c r="I87" s="346">
        <v>6829</v>
      </c>
    </row>
    <row r="88" spans="2:9" ht="12.75">
      <c r="B88" s="218">
        <v>325</v>
      </c>
      <c r="C88" s="219" t="s">
        <v>556</v>
      </c>
      <c r="D88" s="220">
        <v>301054</v>
      </c>
      <c r="E88" s="221">
        <f>8172906-28407</f>
        <v>8144499</v>
      </c>
      <c r="F88" s="222">
        <f>7616593-77905</f>
        <v>7538688</v>
      </c>
      <c r="G88" s="258">
        <f t="shared" si="0"/>
        <v>605811</v>
      </c>
      <c r="H88" s="223" t="s">
        <v>555</v>
      </c>
      <c r="I88" s="346">
        <v>560838</v>
      </c>
    </row>
    <row r="89" spans="2:9" ht="12.75">
      <c r="B89" s="218">
        <v>325</v>
      </c>
      <c r="C89" s="219" t="s">
        <v>557</v>
      </c>
      <c r="D89" s="220">
        <v>375035</v>
      </c>
      <c r="E89" s="221">
        <f>186445+56267</f>
        <v>242712</v>
      </c>
      <c r="F89" s="222">
        <f>141296+61147</f>
        <v>202443</v>
      </c>
      <c r="G89" s="258">
        <f aca="true" t="shared" si="1" ref="G89">E89-F89</f>
        <v>40269</v>
      </c>
      <c r="H89" s="223" t="s">
        <v>555</v>
      </c>
      <c r="I89" s="346">
        <f>12469+2297</f>
        <v>14766</v>
      </c>
    </row>
    <row r="90" spans="2:9" ht="12.75">
      <c r="B90" s="218"/>
      <c r="C90" s="219"/>
      <c r="D90" s="220"/>
      <c r="E90" s="221"/>
      <c r="F90" s="222"/>
      <c r="G90" s="258"/>
      <c r="H90" s="223"/>
      <c r="I90" s="346"/>
    </row>
    <row r="91" spans="2:9" ht="12.75">
      <c r="B91" s="218">
        <v>102</v>
      </c>
      <c r="C91" s="224" t="s">
        <v>202</v>
      </c>
      <c r="D91" s="220" t="s">
        <v>189</v>
      </c>
      <c r="E91" s="221">
        <v>6178645</v>
      </c>
      <c r="F91" s="222">
        <v>5592852</v>
      </c>
      <c r="G91" s="258">
        <f>E91-F91</f>
        <v>585793</v>
      </c>
      <c r="H91" s="223" t="s">
        <v>558</v>
      </c>
      <c r="I91" s="346">
        <v>-119408</v>
      </c>
    </row>
    <row r="92" spans="2:9" ht="12.75">
      <c r="B92" s="218">
        <v>104</v>
      </c>
      <c r="C92" s="224" t="s">
        <v>281</v>
      </c>
      <c r="D92" s="220" t="s">
        <v>282</v>
      </c>
      <c r="E92" s="221">
        <v>776348</v>
      </c>
      <c r="F92" s="222">
        <v>1049383</v>
      </c>
      <c r="G92" s="258">
        <f aca="true" t="shared" si="2" ref="G92:G93">E92-F92</f>
        <v>-273035</v>
      </c>
      <c r="H92" s="223" t="s">
        <v>559</v>
      </c>
      <c r="I92" s="346">
        <v>-506139</v>
      </c>
    </row>
    <row r="93" spans="2:9" ht="12.75">
      <c r="B93" s="218">
        <v>110</v>
      </c>
      <c r="C93" s="224" t="s">
        <v>560</v>
      </c>
      <c r="D93" s="220" t="s">
        <v>189</v>
      </c>
      <c r="E93" s="221">
        <v>16841796</v>
      </c>
      <c r="F93" s="222">
        <v>9916619</v>
      </c>
      <c r="G93" s="258">
        <f t="shared" si="2"/>
        <v>6925177</v>
      </c>
      <c r="H93" s="232" t="s">
        <v>561</v>
      </c>
      <c r="I93" s="346">
        <f>-123000+5553700</f>
        <v>5430700</v>
      </c>
    </row>
    <row r="94" spans="2:9" ht="12.75">
      <c r="B94" s="218">
        <v>110</v>
      </c>
      <c r="C94" s="233" t="s">
        <v>562</v>
      </c>
      <c r="D94" s="234" t="s">
        <v>189</v>
      </c>
      <c r="E94" s="221">
        <v>9466268</v>
      </c>
      <c r="F94" s="222">
        <v>6560954</v>
      </c>
      <c r="G94" s="258">
        <f>E94-F94</f>
        <v>2905314</v>
      </c>
      <c r="H94" s="232" t="s">
        <v>561</v>
      </c>
      <c r="I94" s="346">
        <v>1608402</v>
      </c>
    </row>
    <row r="95" spans="2:9" ht="12.75">
      <c r="B95" s="218">
        <v>110</v>
      </c>
      <c r="C95" s="219" t="s">
        <v>563</v>
      </c>
      <c r="D95" s="220"/>
      <c r="E95" s="221"/>
      <c r="F95" s="222"/>
      <c r="G95" s="258">
        <v>-1660000</v>
      </c>
      <c r="H95" s="232" t="s">
        <v>561</v>
      </c>
      <c r="I95" s="346">
        <v>-790000</v>
      </c>
    </row>
    <row r="96" spans="2:9" ht="12.75">
      <c r="B96" s="218">
        <v>110</v>
      </c>
      <c r="C96" s="219" t="s">
        <v>564</v>
      </c>
      <c r="D96" s="234" t="s">
        <v>283</v>
      </c>
      <c r="E96" s="221">
        <v>1205958</v>
      </c>
      <c r="F96" s="222">
        <v>-93254</v>
      </c>
      <c r="G96" s="258">
        <f>E96-F96</f>
        <v>1299212</v>
      </c>
      <c r="H96" s="232" t="s">
        <v>561</v>
      </c>
      <c r="I96" s="346">
        <v>102780</v>
      </c>
    </row>
    <row r="97" spans="2:9" ht="12.75">
      <c r="B97" s="218">
        <v>110</v>
      </c>
      <c r="C97" s="219" t="s">
        <v>565</v>
      </c>
      <c r="D97" s="234"/>
      <c r="E97" s="221">
        <f>6782780+6504960</f>
        <v>13287740</v>
      </c>
      <c r="F97" s="222">
        <f>7197594+6287204</f>
        <v>13484798</v>
      </c>
      <c r="G97" s="258">
        <v>-197000</v>
      </c>
      <c r="H97" s="232" t="s">
        <v>561</v>
      </c>
      <c r="I97" s="346">
        <v>0</v>
      </c>
    </row>
    <row r="98" spans="2:9" ht="12.75">
      <c r="B98" s="218">
        <v>109</v>
      </c>
      <c r="C98" s="224" t="s">
        <v>566</v>
      </c>
      <c r="D98" s="235" t="s">
        <v>190</v>
      </c>
      <c r="E98" s="221">
        <v>6323408</v>
      </c>
      <c r="F98" s="222">
        <v>5515261</v>
      </c>
      <c r="G98" s="258">
        <f>E98-F98</f>
        <v>808147</v>
      </c>
      <c r="H98" s="232" t="s">
        <v>567</v>
      </c>
      <c r="I98" s="346">
        <v>1291418</v>
      </c>
    </row>
    <row r="99" spans="2:9" ht="12.75">
      <c r="B99" s="218"/>
      <c r="C99" s="219" t="s">
        <v>568</v>
      </c>
      <c r="D99" s="235"/>
      <c r="E99" s="221"/>
      <c r="F99" s="222"/>
      <c r="G99" s="258">
        <v>-62595</v>
      </c>
      <c r="H99" s="232"/>
      <c r="I99" s="346">
        <v>0</v>
      </c>
    </row>
    <row r="100" spans="2:9" ht="12.75">
      <c r="B100" s="218">
        <v>109</v>
      </c>
      <c r="C100" s="224" t="s">
        <v>569</v>
      </c>
      <c r="D100" s="235"/>
      <c r="E100" s="221">
        <v>840678</v>
      </c>
      <c r="F100" s="222">
        <v>491383</v>
      </c>
      <c r="G100" s="258">
        <f>E100-F100</f>
        <v>349295</v>
      </c>
      <c r="H100" s="232" t="s">
        <v>567</v>
      </c>
      <c r="I100" s="132">
        <v>404681</v>
      </c>
    </row>
    <row r="101" spans="2:9" ht="12.75">
      <c r="B101" s="218">
        <v>109</v>
      </c>
      <c r="C101" s="224" t="s">
        <v>570</v>
      </c>
      <c r="D101" s="235"/>
      <c r="E101" s="221">
        <f>2592140+7295180+345530+119240+5111090</f>
        <v>15463180</v>
      </c>
      <c r="F101" s="222">
        <f>455519+135273+7781604+2788667+4983441</f>
        <v>16144504</v>
      </c>
      <c r="G101" s="258">
        <v>-681000</v>
      </c>
      <c r="H101" s="232" t="s">
        <v>567</v>
      </c>
      <c r="I101" s="132">
        <v>0</v>
      </c>
    </row>
    <row r="102" spans="2:9" ht="12.75">
      <c r="B102" s="218">
        <v>601</v>
      </c>
      <c r="C102" s="224" t="s">
        <v>101</v>
      </c>
      <c r="D102" s="220">
        <v>306001</v>
      </c>
      <c r="E102" s="231">
        <v>426548</v>
      </c>
      <c r="F102" s="226">
        <v>75088</v>
      </c>
      <c r="G102" s="258">
        <v>0</v>
      </c>
      <c r="H102" s="236" t="s">
        <v>571</v>
      </c>
      <c r="I102" s="132"/>
    </row>
    <row r="103" spans="2:9" ht="12.75">
      <c r="B103" s="237">
        <v>620</v>
      </c>
      <c r="C103" s="233" t="s">
        <v>572</v>
      </c>
      <c r="D103" s="220"/>
      <c r="E103" s="221"/>
      <c r="F103" s="222"/>
      <c r="G103" s="258"/>
      <c r="H103" s="236" t="s">
        <v>573</v>
      </c>
      <c r="I103" s="132"/>
    </row>
    <row r="104" spans="2:9" ht="12.75">
      <c r="B104" s="238">
        <v>620</v>
      </c>
      <c r="C104" s="233" t="s">
        <v>574</v>
      </c>
      <c r="D104" s="220"/>
      <c r="E104" s="221">
        <v>128267340</v>
      </c>
      <c r="F104" s="222">
        <v>121586212</v>
      </c>
      <c r="G104" s="258">
        <f>E104-F104</f>
        <v>6681128</v>
      </c>
      <c r="H104" s="236" t="s">
        <v>573</v>
      </c>
      <c r="I104" s="132">
        <f>577923-1717318+2001218-684728-708096+1989978-3954-620426+62587+809972</f>
        <v>1707156</v>
      </c>
    </row>
    <row r="105" spans="2:9" ht="12.75">
      <c r="B105" s="238">
        <v>620</v>
      </c>
      <c r="C105" s="233" t="s">
        <v>575</v>
      </c>
      <c r="D105" s="220"/>
      <c r="E105" s="221">
        <v>39984515</v>
      </c>
      <c r="F105" s="222">
        <v>37909936</v>
      </c>
      <c r="G105" s="258">
        <f aca="true" t="shared" si="3" ref="G105:G109">E105-F105</f>
        <v>2074579</v>
      </c>
      <c r="H105" s="236" t="s">
        <v>573</v>
      </c>
      <c r="I105" s="132">
        <f>-1047293+1217113-482786-160890+60013+833152+288483+1430224+1267606+80723+313933-4338</f>
        <v>3795940</v>
      </c>
    </row>
    <row r="106" spans="2:9" ht="12.75">
      <c r="B106" s="238">
        <v>620</v>
      </c>
      <c r="C106" s="233" t="s">
        <v>576</v>
      </c>
      <c r="D106" s="220"/>
      <c r="E106" s="221">
        <v>6484953</v>
      </c>
      <c r="F106" s="222">
        <v>6369067</v>
      </c>
      <c r="G106" s="258">
        <f t="shared" si="3"/>
        <v>115886</v>
      </c>
      <c r="H106" s="236" t="s">
        <v>573</v>
      </c>
      <c r="I106" s="132">
        <v>708386</v>
      </c>
    </row>
    <row r="107" spans="2:9" ht="12.75">
      <c r="B107" s="238">
        <v>620</v>
      </c>
      <c r="C107" s="233" t="s">
        <v>577</v>
      </c>
      <c r="D107" s="220"/>
      <c r="E107" s="221">
        <v>9258446</v>
      </c>
      <c r="F107" s="222">
        <v>7093588</v>
      </c>
      <c r="G107" s="258">
        <f t="shared" si="3"/>
        <v>2164858</v>
      </c>
      <c r="H107" s="236" t="s">
        <v>573</v>
      </c>
      <c r="I107" s="132">
        <f>63506+309499+350648</f>
        <v>723653</v>
      </c>
    </row>
    <row r="108" spans="2:9" ht="12.75">
      <c r="B108" s="238">
        <v>620</v>
      </c>
      <c r="C108" s="233" t="s">
        <v>578</v>
      </c>
      <c r="D108" s="220"/>
      <c r="E108" s="221">
        <v>19987542</v>
      </c>
      <c r="F108" s="222">
        <v>20255912</v>
      </c>
      <c r="G108" s="258">
        <f t="shared" si="3"/>
        <v>-268370</v>
      </c>
      <c r="H108" s="236" t="s">
        <v>573</v>
      </c>
      <c r="I108" s="132">
        <f>392346+82702-10172</f>
        <v>464876</v>
      </c>
    </row>
    <row r="109" spans="2:9" ht="25.5">
      <c r="B109" s="238">
        <v>103</v>
      </c>
      <c r="C109" s="233" t="s">
        <v>579</v>
      </c>
      <c r="D109" s="220">
        <v>523005</v>
      </c>
      <c r="E109" s="221">
        <v>-21788062</v>
      </c>
      <c r="F109" s="222">
        <v>-24237306</v>
      </c>
      <c r="G109" s="258">
        <f t="shared" si="3"/>
        <v>2449244</v>
      </c>
      <c r="H109" s="236" t="s">
        <v>737</v>
      </c>
      <c r="I109" s="132">
        <v>0</v>
      </c>
    </row>
    <row r="110" spans="2:9" ht="12.75">
      <c r="B110" s="218"/>
      <c r="C110" s="224"/>
      <c r="D110" s="220"/>
      <c r="E110" s="221"/>
      <c r="F110" s="222"/>
      <c r="G110" s="258"/>
      <c r="H110" s="239"/>
      <c r="I110" s="132"/>
    </row>
    <row r="111" spans="2:9" ht="13.5" thickBot="1">
      <c r="B111" s="240" t="s">
        <v>197</v>
      </c>
      <c r="C111" s="241"/>
      <c r="D111" s="242"/>
      <c r="E111" s="243">
        <f>SUM(E9:E110)</f>
        <v>863573854</v>
      </c>
      <c r="F111" s="244">
        <f>SUM(F9:F110)</f>
        <v>832325484</v>
      </c>
      <c r="G111" s="259">
        <f>SUM(G9:G110)</f>
        <v>29174697</v>
      </c>
      <c r="H111" s="347"/>
      <c r="I111" s="347">
        <f aca="true" t="shared" si="4" ref="I111">SUM(I9:I110)</f>
        <v>24168188</v>
      </c>
    </row>
    <row r="112" spans="2:8" ht="4.5" customHeight="1">
      <c r="B112" s="245"/>
      <c r="C112" s="246"/>
      <c r="D112" s="247"/>
      <c r="E112" s="248"/>
      <c r="F112" s="216"/>
      <c r="G112" s="260"/>
      <c r="H112" s="249"/>
    </row>
    <row r="113" spans="2:8" ht="22.5" customHeight="1">
      <c r="B113" s="349" t="s">
        <v>393</v>
      </c>
      <c r="C113" s="350"/>
      <c r="D113" s="350"/>
      <c r="E113" s="250"/>
      <c r="F113" s="132"/>
      <c r="G113" s="141"/>
      <c r="H113" s="251"/>
    </row>
    <row r="114" spans="2:8" ht="12.75" customHeight="1">
      <c r="B114" s="349" t="s">
        <v>394</v>
      </c>
      <c r="C114" s="350"/>
      <c r="D114" s="350"/>
      <c r="E114" s="252"/>
      <c r="F114" s="132"/>
      <c r="G114" s="141">
        <v>181066</v>
      </c>
      <c r="H114" s="251"/>
    </row>
    <row r="115" spans="2:8" ht="12.75">
      <c r="B115" s="253"/>
      <c r="C115" s="234"/>
      <c r="D115" s="254"/>
      <c r="E115" s="255"/>
      <c r="F115" s="132"/>
      <c r="G115" s="142"/>
      <c r="H115" s="251"/>
    </row>
    <row r="116" spans="2:8" ht="27" customHeight="1" thickBot="1">
      <c r="B116" s="351" t="s">
        <v>197</v>
      </c>
      <c r="C116" s="352"/>
      <c r="D116" s="353"/>
      <c r="E116" s="133"/>
      <c r="F116" s="134"/>
      <c r="G116" s="143">
        <f>SUM(G111:G114)</f>
        <v>29355763</v>
      </c>
      <c r="H116" s="256"/>
    </row>
  </sheetData>
  <mergeCells count="4">
    <mergeCell ref="G7:H7"/>
    <mergeCell ref="B113:D113"/>
    <mergeCell ref="B114:D114"/>
    <mergeCell ref="B116:D116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 topLeftCell="A16">
      <selection activeCell="B32" sqref="B32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33.7109375" style="0" customWidth="1"/>
    <col min="4" max="4" width="11.7109375" style="0" hidden="1" customWidth="1"/>
    <col min="5" max="5" width="11.421875" style="0" customWidth="1"/>
    <col min="6" max="6" width="12.421875" style="0" customWidth="1"/>
    <col min="7" max="7" width="13.57421875" style="0" customWidth="1"/>
    <col min="8" max="8" width="9.421875" style="4" customWidth="1"/>
    <col min="9" max="9" width="10.57421875" style="0" customWidth="1"/>
  </cols>
  <sheetData>
    <row r="1" ht="13.5" thickBot="1"/>
    <row r="2" spans="2:9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7"/>
      <c r="I2" s="17"/>
    </row>
    <row r="4" spans="2:3" ht="18">
      <c r="B4" s="13" t="s">
        <v>9</v>
      </c>
      <c r="C4" s="2"/>
    </row>
    <row r="5" ht="18">
      <c r="B5" s="13" t="s">
        <v>12</v>
      </c>
    </row>
    <row r="6" spans="2:9" s="1" customFormat="1" ht="59.1" customHeight="1">
      <c r="B6" s="21" t="s">
        <v>161</v>
      </c>
      <c r="C6" s="21"/>
      <c r="D6" s="22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  <c r="I6" s="20" t="s">
        <v>608</v>
      </c>
    </row>
    <row r="7" spans="2:9" ht="28.5" customHeight="1">
      <c r="B7" s="46"/>
      <c r="C7" s="46"/>
      <c r="D7" s="46"/>
      <c r="E7" s="46"/>
      <c r="F7" s="46"/>
      <c r="G7" s="64" t="s">
        <v>17</v>
      </c>
      <c r="H7" s="45"/>
      <c r="I7" s="46"/>
    </row>
    <row r="8" spans="2:9" ht="12.75">
      <c r="B8" s="35" t="s">
        <v>18</v>
      </c>
      <c r="C8" s="46"/>
      <c r="D8" s="46"/>
      <c r="E8" s="46"/>
      <c r="F8" s="46"/>
      <c r="G8" s="46"/>
      <c r="H8" s="46"/>
      <c r="I8" s="46"/>
    </row>
    <row r="9" spans="2:9" ht="12.75">
      <c r="B9" s="35" t="s">
        <v>62</v>
      </c>
      <c r="C9" s="46"/>
      <c r="D9" s="73" t="s">
        <v>150</v>
      </c>
      <c r="E9" s="36">
        <v>23518937</v>
      </c>
      <c r="F9" s="36">
        <v>22856122</v>
      </c>
      <c r="G9" s="61">
        <f>E9-F9</f>
        <v>662815</v>
      </c>
      <c r="H9" s="71" t="s">
        <v>410</v>
      </c>
      <c r="I9" s="36">
        <v>431278</v>
      </c>
    </row>
    <row r="10" spans="2:9" s="32" customFormat="1" ht="12.75">
      <c r="B10" s="46"/>
      <c r="C10" s="46"/>
      <c r="D10" s="73"/>
      <c r="E10" s="36"/>
      <c r="F10" s="36"/>
      <c r="G10" s="139"/>
      <c r="H10" s="71"/>
      <c r="I10" s="46"/>
    </row>
    <row r="11" spans="2:10" ht="12.75">
      <c r="B11" s="35" t="s">
        <v>132</v>
      </c>
      <c r="C11" s="46"/>
      <c r="D11" s="46"/>
      <c r="E11" s="36"/>
      <c r="F11" s="36"/>
      <c r="G11" s="139"/>
      <c r="H11" s="71" t="s">
        <v>409</v>
      </c>
      <c r="I11" s="46"/>
      <c r="J11" s="3"/>
    </row>
    <row r="12" spans="2:10" s="131" customFormat="1" ht="12.75">
      <c r="B12" s="35"/>
      <c r="C12" s="153" t="s">
        <v>411</v>
      </c>
      <c r="D12" s="156" t="s">
        <v>412</v>
      </c>
      <c r="E12" s="36">
        <v>490909</v>
      </c>
      <c r="F12" s="36">
        <v>510088</v>
      </c>
      <c r="G12" s="139">
        <f aca="true" t="shared" si="0" ref="G12:G15">E12-F12</f>
        <v>-19179</v>
      </c>
      <c r="H12" s="71"/>
      <c r="I12" s="46"/>
      <c r="J12" s="130"/>
    </row>
    <row r="13" spans="2:10" s="131" customFormat="1" ht="12.75">
      <c r="B13" s="35"/>
      <c r="C13" s="153" t="s">
        <v>413</v>
      </c>
      <c r="D13" s="155">
        <v>363</v>
      </c>
      <c r="E13" s="36">
        <f>5925900+109000</f>
        <v>6034900</v>
      </c>
      <c r="F13" s="36">
        <v>6001398</v>
      </c>
      <c r="G13" s="139">
        <f t="shared" si="0"/>
        <v>33502</v>
      </c>
      <c r="H13" s="71"/>
      <c r="I13" s="46"/>
      <c r="J13" s="130"/>
    </row>
    <row r="14" spans="2:10" s="131" customFormat="1" ht="12.75">
      <c r="B14" s="35"/>
      <c r="C14" s="153" t="s">
        <v>417</v>
      </c>
      <c r="D14" s="155">
        <v>363</v>
      </c>
      <c r="E14" s="36">
        <v>-109000</v>
      </c>
      <c r="F14" s="36"/>
      <c r="G14" s="139"/>
      <c r="H14" s="71"/>
      <c r="I14" s="46"/>
      <c r="J14" s="130"/>
    </row>
    <row r="15" spans="2:10" s="131" customFormat="1" ht="12.75">
      <c r="B15" s="35"/>
      <c r="C15" s="153" t="s">
        <v>414</v>
      </c>
      <c r="D15" s="155">
        <v>364</v>
      </c>
      <c r="E15" s="36">
        <v>124787</v>
      </c>
      <c r="F15" s="36">
        <v>97923</v>
      </c>
      <c r="G15" s="139">
        <f t="shared" si="0"/>
        <v>26864</v>
      </c>
      <c r="H15" s="71"/>
      <c r="I15" s="46"/>
      <c r="J15" s="130"/>
    </row>
    <row r="16" spans="2:10" s="131" customFormat="1" ht="12.75">
      <c r="B16" s="35" t="s">
        <v>415</v>
      </c>
      <c r="C16" s="46"/>
      <c r="D16" s="46"/>
      <c r="E16" s="36"/>
      <c r="F16" s="36"/>
      <c r="G16" s="140">
        <f>SUM(G12:G15)</f>
        <v>41187</v>
      </c>
      <c r="H16" s="71"/>
      <c r="I16" s="36">
        <v>190274</v>
      </c>
      <c r="J16" s="130"/>
    </row>
    <row r="17" spans="2:10" s="32" customFormat="1" ht="12.75">
      <c r="B17" s="46"/>
      <c r="C17" s="46"/>
      <c r="D17" s="153"/>
      <c r="E17" s="36"/>
      <c r="F17" s="36"/>
      <c r="G17" s="139"/>
      <c r="H17" s="71"/>
      <c r="I17" s="46"/>
      <c r="J17" s="33"/>
    </row>
    <row r="18" spans="2:10" ht="12.75">
      <c r="B18" s="35" t="s">
        <v>0</v>
      </c>
      <c r="C18" s="46"/>
      <c r="D18" s="46"/>
      <c r="E18" s="36"/>
      <c r="F18" s="36"/>
      <c r="G18" s="139"/>
      <c r="H18" s="71"/>
      <c r="I18" s="46"/>
      <c r="J18" s="3"/>
    </row>
    <row r="19" spans="2:10" ht="12.75">
      <c r="B19" s="46"/>
      <c r="C19" s="46" t="s">
        <v>182</v>
      </c>
      <c r="D19" s="46" t="s">
        <v>185</v>
      </c>
      <c r="E19" s="36">
        <v>1810630</v>
      </c>
      <c r="F19" s="36">
        <v>1485076</v>
      </c>
      <c r="G19" s="139">
        <f aca="true" t="shared" si="1" ref="G19:G23">E19-F19</f>
        <v>325554</v>
      </c>
      <c r="H19" s="71"/>
      <c r="I19" s="36">
        <v>258204</v>
      </c>
      <c r="J19" s="3"/>
    </row>
    <row r="20" spans="2:10" ht="12.75">
      <c r="B20" s="46"/>
      <c r="C20" s="46" t="s">
        <v>183</v>
      </c>
      <c r="D20" s="46" t="s">
        <v>186</v>
      </c>
      <c r="E20" s="36">
        <v>34501448</v>
      </c>
      <c r="F20" s="36">
        <v>34886634</v>
      </c>
      <c r="G20" s="139">
        <f t="shared" si="1"/>
        <v>-385186</v>
      </c>
      <c r="H20" s="71"/>
      <c r="I20" s="36">
        <v>1098366</v>
      </c>
      <c r="J20" s="3"/>
    </row>
    <row r="21" spans="2:10" s="40" customFormat="1" ht="12.75">
      <c r="B21" s="46"/>
      <c r="C21" s="153" t="s">
        <v>416</v>
      </c>
      <c r="D21" s="46" t="s">
        <v>290</v>
      </c>
      <c r="E21" s="36">
        <v>381917</v>
      </c>
      <c r="F21" s="36"/>
      <c r="G21" s="139">
        <v>0</v>
      </c>
      <c r="H21" s="71"/>
      <c r="I21" s="46">
        <v>0</v>
      </c>
      <c r="J21" s="38"/>
    </row>
    <row r="22" spans="2:10" ht="12.75">
      <c r="B22" s="46"/>
      <c r="C22" s="46" t="s">
        <v>184</v>
      </c>
      <c r="D22" s="46" t="s">
        <v>187</v>
      </c>
      <c r="E22" s="36">
        <v>14234874</v>
      </c>
      <c r="F22" s="36">
        <v>12506437</v>
      </c>
      <c r="G22" s="139">
        <f t="shared" si="1"/>
        <v>1728437</v>
      </c>
      <c r="H22" s="71"/>
      <c r="I22" s="36">
        <v>1645816</v>
      </c>
      <c r="J22" s="3"/>
    </row>
    <row r="23" spans="2:10" s="32" customFormat="1" ht="12.75">
      <c r="B23" s="46"/>
      <c r="C23" s="46" t="s">
        <v>222</v>
      </c>
      <c r="D23" s="46" t="s">
        <v>188</v>
      </c>
      <c r="E23" s="36">
        <v>1092733</v>
      </c>
      <c r="F23" s="36">
        <v>1070717</v>
      </c>
      <c r="G23" s="139">
        <f t="shared" si="1"/>
        <v>22016</v>
      </c>
      <c r="H23" s="71"/>
      <c r="I23" s="36">
        <v>-3577</v>
      </c>
      <c r="J23" s="33"/>
    </row>
    <row r="24" spans="2:10" s="32" customFormat="1" ht="12.75">
      <c r="B24" s="74" t="s">
        <v>212</v>
      </c>
      <c r="C24" s="75"/>
      <c r="D24" s="46"/>
      <c r="E24" s="36"/>
      <c r="F24" s="36"/>
      <c r="G24" s="140">
        <f>SUM(G19:G23)</f>
        <v>1690821</v>
      </c>
      <c r="H24" s="71" t="s">
        <v>408</v>
      </c>
      <c r="I24" s="36">
        <v>2998809</v>
      </c>
      <c r="J24" s="33"/>
    </row>
    <row r="25" spans="2:10" s="32" customFormat="1" ht="12.75">
      <c r="B25" s="46"/>
      <c r="C25" s="46"/>
      <c r="D25" s="46"/>
      <c r="E25" s="36"/>
      <c r="F25" s="36"/>
      <c r="G25" s="139"/>
      <c r="H25" s="71"/>
      <c r="I25" s="46"/>
      <c r="J25" s="33"/>
    </row>
    <row r="26" spans="2:10" ht="12.75">
      <c r="B26" s="47" t="s">
        <v>125</v>
      </c>
      <c r="C26" s="46"/>
      <c r="D26" s="46"/>
      <c r="E26" s="36">
        <v>753507</v>
      </c>
      <c r="F26" s="36">
        <v>636496</v>
      </c>
      <c r="G26" s="139">
        <f>E26-F26</f>
        <v>117011</v>
      </c>
      <c r="H26" s="71" t="s">
        <v>407</v>
      </c>
      <c r="I26" s="36">
        <v>95977</v>
      </c>
      <c r="J26" s="3"/>
    </row>
    <row r="27" spans="2:10" s="32" customFormat="1" ht="12.75">
      <c r="B27" s="47"/>
      <c r="C27" s="46"/>
      <c r="D27" s="46"/>
      <c r="E27" s="36"/>
      <c r="F27" s="36"/>
      <c r="G27" s="139"/>
      <c r="H27" s="71"/>
      <c r="I27" s="46"/>
      <c r="J27" s="33"/>
    </row>
    <row r="28" spans="2:10" ht="12.75">
      <c r="B28" s="35" t="s">
        <v>405</v>
      </c>
      <c r="C28" s="35"/>
      <c r="D28" s="35"/>
      <c r="E28" s="61">
        <f>SUM(E9:E27)</f>
        <v>82835642</v>
      </c>
      <c r="F28" s="61">
        <f>SUM(F9:F27)</f>
        <v>80050891</v>
      </c>
      <c r="G28" s="140">
        <f>SUM(G9:G27)-G24-G16</f>
        <v>2511834</v>
      </c>
      <c r="H28" s="76"/>
      <c r="I28" s="36">
        <v>3716338</v>
      </c>
      <c r="J28" s="130"/>
    </row>
    <row r="29" spans="2:9" ht="12" customHeight="1">
      <c r="B29" s="46"/>
      <c r="C29" s="46"/>
      <c r="D29" s="46"/>
      <c r="E29" s="36"/>
      <c r="F29" s="36"/>
      <c r="G29" s="139"/>
      <c r="H29" s="77"/>
      <c r="I29" s="46"/>
    </row>
    <row r="30" spans="2:9" ht="12.75">
      <c r="B30" s="50" t="s">
        <v>381</v>
      </c>
      <c r="C30" s="50"/>
      <c r="D30" s="50"/>
      <c r="E30" s="78">
        <v>2096461</v>
      </c>
      <c r="F30" s="78">
        <v>2136975</v>
      </c>
      <c r="G30" s="144"/>
      <c r="H30" s="154" t="s">
        <v>406</v>
      </c>
      <c r="I30" s="46"/>
    </row>
    <row r="31" spans="2:9" ht="12.75">
      <c r="B31" s="11"/>
      <c r="E31" s="3"/>
      <c r="F31" s="3"/>
      <c r="G31" s="3"/>
      <c r="H31" s="3"/>
      <c r="I31" s="3"/>
    </row>
    <row r="33" ht="12.75">
      <c r="G33" s="3"/>
    </row>
    <row r="37" spans="2:3" ht="12.75">
      <c r="B37" s="9"/>
      <c r="C37" s="9"/>
    </row>
  </sheetData>
  <printOptions/>
  <pageMargins left="0.1968503937007874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 topLeftCell="A1">
      <selection activeCell="C183" sqref="C183"/>
    </sheetView>
  </sheetViews>
  <sheetFormatPr defaultColWidth="9.140625" defaultRowHeight="12.75"/>
  <cols>
    <col min="1" max="1" width="0.13671875" style="0" customWidth="1"/>
    <col min="2" max="2" width="5.140625" style="305" customWidth="1"/>
    <col min="3" max="3" width="33.8515625" style="0" customWidth="1"/>
    <col min="4" max="4" width="10.8515625" style="131" customWidth="1"/>
    <col min="5" max="5" width="11.28125" style="0" customWidth="1"/>
    <col min="6" max="6" width="13.57421875" style="0" customWidth="1"/>
    <col min="7" max="7" width="9.140625" style="0" customWidth="1"/>
    <col min="8" max="8" width="13.00390625" style="4" customWidth="1"/>
    <col min="9" max="9" width="9.421875" style="0" customWidth="1"/>
    <col min="10" max="10" width="7.421875" style="0" customWidth="1"/>
    <col min="11" max="11" width="10.28125" style="0" bestFit="1" customWidth="1"/>
    <col min="12" max="12" width="10.421875" style="0" bestFit="1" customWidth="1"/>
    <col min="13" max="13" width="9.421875" style="0" bestFit="1" customWidth="1"/>
  </cols>
  <sheetData>
    <row r="1" spans="2:8" ht="26.25" thickBot="1">
      <c r="B1" s="354" t="s">
        <v>395</v>
      </c>
      <c r="C1" s="355"/>
      <c r="D1" s="355"/>
      <c r="E1" s="355"/>
      <c r="F1" s="355"/>
      <c r="G1" s="355"/>
      <c r="H1" s="304"/>
    </row>
    <row r="2" spans="3:8" ht="13.5" thickTop="1">
      <c r="C2" s="131"/>
      <c r="E2" s="131"/>
      <c r="F2" s="131"/>
      <c r="G2" s="8"/>
      <c r="H2" s="8"/>
    </row>
    <row r="3" spans="2:8" ht="18">
      <c r="B3" s="332" t="s">
        <v>22</v>
      </c>
      <c r="C3" s="306"/>
      <c r="D3" s="307"/>
      <c r="E3" s="307"/>
      <c r="F3" s="307"/>
      <c r="G3" s="307"/>
      <c r="H3" s="308"/>
    </row>
    <row r="4" spans="2:14" ht="18">
      <c r="B4" s="332" t="s">
        <v>12</v>
      </c>
      <c r="C4" s="307"/>
      <c r="D4" s="307"/>
      <c r="E4" s="307"/>
      <c r="F4" s="307"/>
      <c r="G4" s="307"/>
      <c r="H4" s="308"/>
      <c r="N4" s="33"/>
    </row>
    <row r="5" spans="2:9" s="1" customFormat="1" ht="42" customHeight="1">
      <c r="B5" s="333" t="s">
        <v>161</v>
      </c>
      <c r="C5" s="309"/>
      <c r="D5" s="310" t="s">
        <v>403</v>
      </c>
      <c r="E5" s="310" t="s">
        <v>400</v>
      </c>
      <c r="F5" s="310" t="s">
        <v>404</v>
      </c>
      <c r="G5" s="310" t="s">
        <v>14</v>
      </c>
      <c r="H5" s="310" t="s">
        <v>612</v>
      </c>
      <c r="I5" s="129"/>
    </row>
    <row r="6" spans="2:11" ht="27.75" customHeight="1">
      <c r="B6" s="334"/>
      <c r="C6" s="311"/>
      <c r="D6" s="311"/>
      <c r="E6" s="311"/>
      <c r="F6" s="312" t="s">
        <v>17</v>
      </c>
      <c r="G6" s="313"/>
      <c r="H6" s="335"/>
      <c r="K6" s="9"/>
    </row>
    <row r="7" spans="1:8" ht="12.75">
      <c r="A7" s="28"/>
      <c r="B7" s="322" t="s">
        <v>380</v>
      </c>
      <c r="C7" s="188"/>
      <c r="D7" s="188"/>
      <c r="E7" s="188"/>
      <c r="F7" s="188"/>
      <c r="G7" s="314"/>
      <c r="H7" s="336"/>
    </row>
    <row r="8" spans="1:13" ht="14.1" customHeight="1">
      <c r="A8" s="31"/>
      <c r="B8" s="329">
        <v>105</v>
      </c>
      <c r="C8" s="188" t="s">
        <v>613</v>
      </c>
      <c r="D8" s="315">
        <v>1671594</v>
      </c>
      <c r="E8" s="315">
        <v>1534554</v>
      </c>
      <c r="F8" s="195">
        <f>SUM(D8-E8)</f>
        <v>137040</v>
      </c>
      <c r="G8" s="189" t="s">
        <v>475</v>
      </c>
      <c r="H8" s="337">
        <f>43960-91755-435770</f>
        <v>-483565</v>
      </c>
      <c r="M8" s="33"/>
    </row>
    <row r="9" spans="1:13" s="40" customFormat="1" ht="14.1" customHeight="1">
      <c r="A9" s="31"/>
      <c r="B9" s="329">
        <v>105</v>
      </c>
      <c r="C9" s="188" t="s">
        <v>614</v>
      </c>
      <c r="D9" s="315">
        <v>2753260</v>
      </c>
      <c r="E9" s="315">
        <v>2750838</v>
      </c>
      <c r="F9" s="195">
        <f aca="true" t="shared" si="0" ref="F9:F25">SUM(D9-E9)</f>
        <v>2422</v>
      </c>
      <c r="G9" s="189" t="s">
        <v>475</v>
      </c>
      <c r="H9" s="337">
        <v>-159669</v>
      </c>
      <c r="M9" s="38"/>
    </row>
    <row r="10" spans="1:13" s="32" customFormat="1" ht="14.1" customHeight="1">
      <c r="A10" s="31"/>
      <c r="B10" s="329">
        <v>105</v>
      </c>
      <c r="C10" s="188" t="s">
        <v>615</v>
      </c>
      <c r="D10" s="315">
        <v>981287</v>
      </c>
      <c r="E10" s="315">
        <v>980981</v>
      </c>
      <c r="F10" s="195">
        <f t="shared" si="0"/>
        <v>306</v>
      </c>
      <c r="G10" s="189" t="s">
        <v>475</v>
      </c>
      <c r="H10" s="337">
        <v>29337</v>
      </c>
      <c r="K10" s="33"/>
      <c r="L10" s="33"/>
      <c r="M10" s="33"/>
    </row>
    <row r="11" spans="1:13" ht="14.1" customHeight="1">
      <c r="A11" s="31"/>
      <c r="B11" s="329">
        <v>105</v>
      </c>
      <c r="C11" s="188" t="s">
        <v>616</v>
      </c>
      <c r="D11" s="315">
        <v>1054425</v>
      </c>
      <c r="E11" s="315">
        <v>901662</v>
      </c>
      <c r="F11" s="195">
        <f t="shared" si="0"/>
        <v>152763</v>
      </c>
      <c r="G11" s="189" t="s">
        <v>475</v>
      </c>
      <c r="H11" s="337">
        <v>154290</v>
      </c>
      <c r="L11" s="33"/>
      <c r="M11" s="33"/>
    </row>
    <row r="12" spans="1:13" ht="14.1" customHeight="1">
      <c r="A12" s="31"/>
      <c r="B12" s="329">
        <v>105</v>
      </c>
      <c r="C12" s="188" t="s">
        <v>617</v>
      </c>
      <c r="D12" s="315">
        <v>1777006</v>
      </c>
      <c r="E12" s="315">
        <v>1709006</v>
      </c>
      <c r="F12" s="195">
        <f t="shared" si="0"/>
        <v>68000</v>
      </c>
      <c r="G12" s="189" t="s">
        <v>475</v>
      </c>
      <c r="H12" s="337">
        <v>0</v>
      </c>
      <c r="K12" s="33"/>
      <c r="M12" s="33"/>
    </row>
    <row r="13" spans="1:13" ht="14.1" customHeight="1">
      <c r="A13" s="31"/>
      <c r="B13" s="329">
        <v>105</v>
      </c>
      <c r="C13" s="188" t="s">
        <v>618</v>
      </c>
      <c r="D13" s="315">
        <v>918500</v>
      </c>
      <c r="E13" s="315">
        <v>918349</v>
      </c>
      <c r="F13" s="195">
        <f t="shared" si="0"/>
        <v>151</v>
      </c>
      <c r="G13" s="189" t="s">
        <v>475</v>
      </c>
      <c r="H13" s="337">
        <v>0</v>
      </c>
      <c r="M13" s="33"/>
    </row>
    <row r="14" spans="1:13" s="40" customFormat="1" ht="12.75">
      <c r="A14" s="31"/>
      <c r="B14" s="192">
        <v>105</v>
      </c>
      <c r="C14" s="194" t="s">
        <v>11</v>
      </c>
      <c r="D14" s="316"/>
      <c r="E14" s="316"/>
      <c r="F14" s="317">
        <f>SUM(F8:F13)</f>
        <v>360682</v>
      </c>
      <c r="G14" s="318"/>
      <c r="H14" s="338">
        <f>SUM(H8:H13)</f>
        <v>-459607</v>
      </c>
      <c r="M14" s="38"/>
    </row>
    <row r="15" spans="1:13" ht="14.1" customHeight="1">
      <c r="A15" s="31"/>
      <c r="B15" s="329"/>
      <c r="C15" s="188"/>
      <c r="D15" s="315"/>
      <c r="E15" s="315"/>
      <c r="F15" s="195"/>
      <c r="G15" s="189"/>
      <c r="H15" s="337"/>
      <c r="M15" s="33"/>
    </row>
    <row r="16" spans="1:13" s="131" customFormat="1" ht="14.1" customHeight="1">
      <c r="A16" s="31"/>
      <c r="B16" s="329">
        <v>115</v>
      </c>
      <c r="C16" s="188" t="s">
        <v>262</v>
      </c>
      <c r="D16" s="315">
        <v>2841824</v>
      </c>
      <c r="E16" s="315">
        <v>2635185</v>
      </c>
      <c r="F16" s="195">
        <f>SUM(D16-E16)</f>
        <v>206639</v>
      </c>
      <c r="G16" s="189" t="s">
        <v>476</v>
      </c>
      <c r="H16" s="337">
        <f>215091+29696</f>
        <v>244787</v>
      </c>
      <c r="M16" s="130"/>
    </row>
    <row r="17" spans="1:13" ht="14.1" customHeight="1">
      <c r="A17" s="31"/>
      <c r="B17" s="329">
        <v>115</v>
      </c>
      <c r="C17" s="319" t="s">
        <v>619</v>
      </c>
      <c r="D17" s="315"/>
      <c r="E17" s="315"/>
      <c r="F17" s="195">
        <v>-64500</v>
      </c>
      <c r="G17" s="189" t="s">
        <v>476</v>
      </c>
      <c r="H17" s="337">
        <v>0</v>
      </c>
      <c r="K17" s="33"/>
      <c r="M17" s="33"/>
    </row>
    <row r="18" spans="1:13" ht="14.1" customHeight="1">
      <c r="A18" s="31"/>
      <c r="B18" s="192">
        <v>115</v>
      </c>
      <c r="C18" s="194" t="s">
        <v>11</v>
      </c>
      <c r="D18" s="316"/>
      <c r="E18" s="316"/>
      <c r="F18" s="317">
        <f>SUM(F16:F17)</f>
        <v>142139</v>
      </c>
      <c r="G18" s="318"/>
      <c r="H18" s="338">
        <f>SUM(H16:H17)</f>
        <v>244787</v>
      </c>
      <c r="K18" s="33"/>
      <c r="M18" s="33"/>
    </row>
    <row r="19" spans="1:13" ht="14.1" customHeight="1">
      <c r="A19" s="31"/>
      <c r="B19" s="329"/>
      <c r="C19" s="188"/>
      <c r="D19" s="315"/>
      <c r="E19" s="315"/>
      <c r="F19" s="195"/>
      <c r="G19" s="189"/>
      <c r="H19" s="337"/>
      <c r="M19" s="33"/>
    </row>
    <row r="20" spans="1:13" ht="14.1" customHeight="1">
      <c r="A20" s="31"/>
      <c r="B20" s="329">
        <v>401</v>
      </c>
      <c r="C20" s="188" t="s">
        <v>620</v>
      </c>
      <c r="D20" s="315">
        <v>792026</v>
      </c>
      <c r="E20" s="315">
        <v>752425</v>
      </c>
      <c r="F20" s="195">
        <f t="shared" si="0"/>
        <v>39601</v>
      </c>
      <c r="G20" s="189" t="s">
        <v>477</v>
      </c>
      <c r="H20" s="337">
        <v>57551</v>
      </c>
      <c r="K20" s="33"/>
      <c r="M20" s="33"/>
    </row>
    <row r="21" spans="1:13" ht="14.1" customHeight="1">
      <c r="A21" s="31"/>
      <c r="B21" s="329">
        <v>401</v>
      </c>
      <c r="C21" s="188" t="s">
        <v>621</v>
      </c>
      <c r="D21" s="315">
        <v>142289</v>
      </c>
      <c r="E21" s="315">
        <v>34938</v>
      </c>
      <c r="F21" s="195">
        <f t="shared" si="0"/>
        <v>107351</v>
      </c>
      <c r="G21" s="189" t="s">
        <v>477</v>
      </c>
      <c r="H21" s="337">
        <v>0</v>
      </c>
      <c r="M21" s="33"/>
    </row>
    <row r="22" spans="1:13" s="40" customFormat="1" ht="14.1" customHeight="1">
      <c r="A22" s="31"/>
      <c r="B22" s="329">
        <v>401</v>
      </c>
      <c r="C22" s="188" t="s">
        <v>622</v>
      </c>
      <c r="D22" s="315">
        <v>110783</v>
      </c>
      <c r="E22" s="315">
        <v>500468</v>
      </c>
      <c r="F22" s="195">
        <f t="shared" si="0"/>
        <v>-389685</v>
      </c>
      <c r="G22" s="189" t="s">
        <v>477</v>
      </c>
      <c r="H22" s="337">
        <v>0</v>
      </c>
      <c r="M22" s="38"/>
    </row>
    <row r="23" spans="1:13" ht="14.1" customHeight="1">
      <c r="A23" s="31"/>
      <c r="B23" s="192">
        <v>401</v>
      </c>
      <c r="C23" s="194" t="s">
        <v>11</v>
      </c>
      <c r="D23" s="316"/>
      <c r="E23" s="316"/>
      <c r="F23" s="317">
        <f>SUM(F20:F22)</f>
        <v>-242733</v>
      </c>
      <c r="G23" s="318"/>
      <c r="H23" s="338">
        <f>SUM(H20:H22)</f>
        <v>57551</v>
      </c>
      <c r="M23" s="33"/>
    </row>
    <row r="24" spans="1:13" ht="14.1" customHeight="1">
      <c r="A24" s="31"/>
      <c r="B24" s="329"/>
      <c r="C24" s="188"/>
      <c r="D24" s="315"/>
      <c r="E24" s="315"/>
      <c r="F24" s="195"/>
      <c r="G24" s="189"/>
      <c r="H24" s="337"/>
      <c r="K24" s="33"/>
      <c r="M24" s="33"/>
    </row>
    <row r="25" spans="1:13" ht="14.1" customHeight="1">
      <c r="A25" s="31"/>
      <c r="B25" s="329">
        <v>402</v>
      </c>
      <c r="C25" s="190" t="s">
        <v>263</v>
      </c>
      <c r="D25" s="315">
        <v>6546320</v>
      </c>
      <c r="E25" s="315">
        <v>6192812</v>
      </c>
      <c r="F25" s="195">
        <f t="shared" si="0"/>
        <v>353508</v>
      </c>
      <c r="G25" s="189" t="s">
        <v>478</v>
      </c>
      <c r="H25" s="337">
        <v>239214</v>
      </c>
      <c r="K25" s="33"/>
      <c r="M25" s="33"/>
    </row>
    <row r="26" spans="1:13" s="32" customFormat="1" ht="14.25" customHeight="1">
      <c r="A26" s="31"/>
      <c r="B26" s="329">
        <v>402</v>
      </c>
      <c r="C26" s="190" t="s">
        <v>623</v>
      </c>
      <c r="D26" s="315">
        <v>1229586</v>
      </c>
      <c r="E26" s="315">
        <v>1201880</v>
      </c>
      <c r="F26" s="195">
        <f aca="true" t="shared" si="1" ref="F26:F177">SUM(D26-E26)</f>
        <v>27706</v>
      </c>
      <c r="G26" s="189" t="s">
        <v>478</v>
      </c>
      <c r="H26" s="337">
        <v>19126</v>
      </c>
      <c r="K26" s="33"/>
      <c r="M26" s="33"/>
    </row>
    <row r="27" spans="1:13" s="40" customFormat="1" ht="14.1" customHeight="1">
      <c r="A27" s="31"/>
      <c r="B27" s="329">
        <v>402</v>
      </c>
      <c r="C27" s="190" t="s">
        <v>624</v>
      </c>
      <c r="D27" s="315">
        <v>1422222</v>
      </c>
      <c r="E27" s="315">
        <v>1403981</v>
      </c>
      <c r="F27" s="195">
        <f t="shared" si="1"/>
        <v>18241</v>
      </c>
      <c r="G27" s="189" t="s">
        <v>478</v>
      </c>
      <c r="H27" s="337">
        <v>-8468</v>
      </c>
      <c r="K27" s="38"/>
      <c r="M27" s="38"/>
    </row>
    <row r="28" spans="1:13" s="40" customFormat="1" ht="14.1" customHeight="1">
      <c r="A28" s="31"/>
      <c r="B28" s="192">
        <v>402</v>
      </c>
      <c r="C28" s="193" t="s">
        <v>11</v>
      </c>
      <c r="D28" s="316"/>
      <c r="E28" s="316"/>
      <c r="F28" s="317">
        <f>SUM(F25:F27)</f>
        <v>399455</v>
      </c>
      <c r="G28" s="318"/>
      <c r="H28" s="338">
        <f>SUM(H25:H27)</f>
        <v>249872</v>
      </c>
      <c r="K28" s="38"/>
      <c r="M28" s="38"/>
    </row>
    <row r="29" spans="1:13" s="32" customFormat="1" ht="14.1" customHeight="1">
      <c r="A29" s="31"/>
      <c r="B29" s="329"/>
      <c r="C29" s="190"/>
      <c r="D29" s="315"/>
      <c r="E29" s="315"/>
      <c r="F29" s="195"/>
      <c r="G29" s="189"/>
      <c r="H29" s="337"/>
      <c r="K29" s="33"/>
      <c r="M29" s="33"/>
    </row>
    <row r="30" spans="1:13" ht="14.1" customHeight="1">
      <c r="A30" s="31"/>
      <c r="B30" s="329">
        <v>403</v>
      </c>
      <c r="C30" s="190" t="s">
        <v>625</v>
      </c>
      <c r="D30" s="315">
        <v>433158</v>
      </c>
      <c r="E30" s="315">
        <v>93820</v>
      </c>
      <c r="F30" s="195">
        <f aca="true" t="shared" si="2" ref="F30:F39">SUM(D30-E30)</f>
        <v>339338</v>
      </c>
      <c r="G30" s="191" t="s">
        <v>480</v>
      </c>
      <c r="H30" s="337">
        <v>173623</v>
      </c>
      <c r="K30" s="33"/>
      <c r="L30" s="33"/>
      <c r="M30" s="33"/>
    </row>
    <row r="31" spans="1:13" ht="12.75">
      <c r="A31" s="28"/>
      <c r="B31" s="329">
        <v>403</v>
      </c>
      <c r="C31" s="190" t="s">
        <v>626</v>
      </c>
      <c r="D31" s="315">
        <v>3768939</v>
      </c>
      <c r="E31" s="315">
        <v>6292487</v>
      </c>
      <c r="F31" s="195">
        <f t="shared" si="2"/>
        <v>-2523548</v>
      </c>
      <c r="G31" s="191" t="s">
        <v>480</v>
      </c>
      <c r="H31" s="337">
        <v>244109</v>
      </c>
      <c r="L31" s="33"/>
      <c r="M31" s="33"/>
    </row>
    <row r="32" spans="1:13" ht="12.75">
      <c r="A32" s="28"/>
      <c r="B32" s="329">
        <v>403</v>
      </c>
      <c r="C32" s="190" t="s">
        <v>627</v>
      </c>
      <c r="D32" s="315">
        <v>333412</v>
      </c>
      <c r="E32" s="315">
        <v>280506</v>
      </c>
      <c r="F32" s="195">
        <f t="shared" si="2"/>
        <v>52906</v>
      </c>
      <c r="G32" s="191" t="s">
        <v>480</v>
      </c>
      <c r="H32" s="337"/>
      <c r="M32" s="33"/>
    </row>
    <row r="33" spans="1:13" ht="14.1" customHeight="1">
      <c r="A33" s="28"/>
      <c r="B33" s="329">
        <v>403</v>
      </c>
      <c r="C33" s="190" t="s">
        <v>628</v>
      </c>
      <c r="D33" s="315">
        <v>174123</v>
      </c>
      <c r="E33" s="315">
        <v>149244</v>
      </c>
      <c r="F33" s="195">
        <f t="shared" si="2"/>
        <v>24879</v>
      </c>
      <c r="G33" s="191" t="s">
        <v>480</v>
      </c>
      <c r="H33" s="337"/>
      <c r="M33" s="33"/>
    </row>
    <row r="34" spans="1:13" s="32" customFormat="1" ht="14.1" customHeight="1">
      <c r="A34" s="28"/>
      <c r="B34" s="329">
        <v>403</v>
      </c>
      <c r="C34" s="190" t="s">
        <v>629</v>
      </c>
      <c r="D34" s="315">
        <v>7986521</v>
      </c>
      <c r="E34" s="315">
        <v>8173257</v>
      </c>
      <c r="F34" s="195">
        <f t="shared" si="2"/>
        <v>-186736</v>
      </c>
      <c r="G34" s="191" t="s">
        <v>480</v>
      </c>
      <c r="H34" s="337"/>
      <c r="M34" s="33"/>
    </row>
    <row r="35" spans="1:13" s="40" customFormat="1" ht="14.1" customHeight="1">
      <c r="A35" s="28"/>
      <c r="B35" s="329">
        <v>403</v>
      </c>
      <c r="C35" s="190" t="s">
        <v>630</v>
      </c>
      <c r="D35" s="315">
        <v>259724</v>
      </c>
      <c r="E35" s="315">
        <v>166647</v>
      </c>
      <c r="F35" s="195">
        <f t="shared" si="2"/>
        <v>93077</v>
      </c>
      <c r="G35" s="191" t="s">
        <v>480</v>
      </c>
      <c r="H35" s="337"/>
      <c r="M35" s="38"/>
    </row>
    <row r="36" spans="1:13" s="32" customFormat="1" ht="12.75">
      <c r="A36" s="28"/>
      <c r="B36" s="329">
        <v>403</v>
      </c>
      <c r="C36" s="190" t="s">
        <v>631</v>
      </c>
      <c r="D36" s="315">
        <v>201028</v>
      </c>
      <c r="E36" s="315">
        <v>136349</v>
      </c>
      <c r="F36" s="195">
        <f t="shared" si="2"/>
        <v>64679</v>
      </c>
      <c r="G36" s="191" t="s">
        <v>480</v>
      </c>
      <c r="H36" s="337"/>
      <c r="M36" s="33"/>
    </row>
    <row r="37" spans="1:13" ht="12.75">
      <c r="A37" s="28"/>
      <c r="B37" s="329">
        <v>403</v>
      </c>
      <c r="C37" s="190" t="s">
        <v>632</v>
      </c>
      <c r="D37" s="315">
        <v>9575245</v>
      </c>
      <c r="E37" s="315">
        <v>8549431</v>
      </c>
      <c r="F37" s="195">
        <f t="shared" si="2"/>
        <v>1025814</v>
      </c>
      <c r="G37" s="191" t="s">
        <v>480</v>
      </c>
      <c r="H37" s="337"/>
      <c r="M37" s="33"/>
    </row>
    <row r="38" spans="1:13" ht="14.1" customHeight="1">
      <c r="A38" s="28"/>
      <c r="B38" s="329">
        <v>403</v>
      </c>
      <c r="C38" s="190" t="s">
        <v>633</v>
      </c>
      <c r="D38" s="315">
        <v>16861965</v>
      </c>
      <c r="E38" s="315">
        <v>15898311</v>
      </c>
      <c r="F38" s="195">
        <f t="shared" si="2"/>
        <v>963654</v>
      </c>
      <c r="G38" s="191" t="s">
        <v>480</v>
      </c>
      <c r="H38" s="337"/>
      <c r="K38" s="33"/>
      <c r="M38" s="33"/>
    </row>
    <row r="39" spans="1:13" ht="14.1" customHeight="1">
      <c r="A39" s="28"/>
      <c r="B39" s="329">
        <v>403</v>
      </c>
      <c r="C39" s="190" t="s">
        <v>634</v>
      </c>
      <c r="D39" s="315">
        <v>1313727</v>
      </c>
      <c r="E39" s="315">
        <v>1265652</v>
      </c>
      <c r="F39" s="195">
        <f t="shared" si="2"/>
        <v>48075</v>
      </c>
      <c r="G39" s="191" t="s">
        <v>480</v>
      </c>
      <c r="H39" s="337"/>
      <c r="M39" s="33"/>
    </row>
    <row r="40" spans="1:13" s="32" customFormat="1" ht="14.1" customHeight="1">
      <c r="A40" s="28"/>
      <c r="B40" s="329">
        <v>403</v>
      </c>
      <c r="C40" s="320" t="s">
        <v>635</v>
      </c>
      <c r="D40" s="315"/>
      <c r="E40" s="315"/>
      <c r="F40" s="195">
        <v>97862</v>
      </c>
      <c r="G40" s="191" t="s">
        <v>480</v>
      </c>
      <c r="H40" s="337"/>
      <c r="M40" s="33"/>
    </row>
    <row r="41" spans="1:13" ht="14.1" customHeight="1">
      <c r="A41" s="28"/>
      <c r="B41" s="192">
        <v>403</v>
      </c>
      <c r="C41" s="193" t="s">
        <v>11</v>
      </c>
      <c r="D41" s="316"/>
      <c r="E41" s="316"/>
      <c r="F41" s="317">
        <f>SUM(F30:F40)</f>
        <v>0</v>
      </c>
      <c r="G41" s="321"/>
      <c r="H41" s="338">
        <f>SUM(H30:H40)</f>
        <v>417732</v>
      </c>
      <c r="M41" s="33"/>
    </row>
    <row r="42" spans="1:13" ht="14.1" customHeight="1">
      <c r="A42" s="28"/>
      <c r="B42" s="329"/>
      <c r="C42" s="190"/>
      <c r="D42" s="315"/>
      <c r="E42" s="315"/>
      <c r="F42" s="195"/>
      <c r="G42" s="191"/>
      <c r="H42" s="337"/>
      <c r="K42" s="33"/>
      <c r="M42" s="33"/>
    </row>
    <row r="43" spans="1:13" ht="14.1" customHeight="1">
      <c r="A43" s="28"/>
      <c r="B43" s="329">
        <v>404</v>
      </c>
      <c r="C43" s="190" t="s">
        <v>636</v>
      </c>
      <c r="D43" s="315">
        <v>800783</v>
      </c>
      <c r="E43" s="315">
        <v>519241</v>
      </c>
      <c r="F43" s="195">
        <f aca="true" t="shared" si="3" ref="F43:F49">SUM(D43-E43)</f>
        <v>281542</v>
      </c>
      <c r="G43" s="189" t="s">
        <v>482</v>
      </c>
      <c r="H43" s="337">
        <v>-603386</v>
      </c>
      <c r="K43" s="33"/>
      <c r="M43" s="33"/>
    </row>
    <row r="44" spans="1:13" ht="14.1" customHeight="1">
      <c r="A44" s="28"/>
      <c r="B44" s="329">
        <v>404</v>
      </c>
      <c r="C44" s="190" t="s">
        <v>637</v>
      </c>
      <c r="D44" s="315">
        <v>3146804</v>
      </c>
      <c r="E44" s="315">
        <v>3813782</v>
      </c>
      <c r="F44" s="195">
        <f t="shared" si="3"/>
        <v>-666978</v>
      </c>
      <c r="G44" s="189" t="s">
        <v>482</v>
      </c>
      <c r="H44" s="337"/>
      <c r="K44" s="33"/>
      <c r="M44" s="33"/>
    </row>
    <row r="45" spans="1:13" ht="14.1" customHeight="1">
      <c r="A45" s="28"/>
      <c r="B45" s="329">
        <v>404</v>
      </c>
      <c r="C45" s="190" t="s">
        <v>638</v>
      </c>
      <c r="D45" s="315">
        <v>20138729</v>
      </c>
      <c r="E45" s="315">
        <v>21159881</v>
      </c>
      <c r="F45" s="195">
        <f t="shared" si="3"/>
        <v>-1021152</v>
      </c>
      <c r="G45" s="189" t="s">
        <v>482</v>
      </c>
      <c r="H45" s="337"/>
      <c r="K45" s="33"/>
      <c r="M45" s="33"/>
    </row>
    <row r="46" spans="1:13" s="40" customFormat="1" ht="14.1" customHeight="1">
      <c r="A46" s="28"/>
      <c r="B46" s="329">
        <v>404</v>
      </c>
      <c r="C46" s="190" t="s">
        <v>639</v>
      </c>
      <c r="D46" s="315">
        <v>7875978</v>
      </c>
      <c r="E46" s="315">
        <v>7842070</v>
      </c>
      <c r="F46" s="195">
        <f t="shared" si="3"/>
        <v>33908</v>
      </c>
      <c r="G46" s="189" t="s">
        <v>482</v>
      </c>
      <c r="H46" s="337"/>
      <c r="K46" s="38"/>
      <c r="M46" s="38"/>
    </row>
    <row r="47" spans="1:13" s="131" customFormat="1" ht="14.1" customHeight="1">
      <c r="A47" s="28"/>
      <c r="B47" s="329">
        <v>404</v>
      </c>
      <c r="C47" s="190" t="s">
        <v>640</v>
      </c>
      <c r="D47" s="315">
        <v>5467543</v>
      </c>
      <c r="E47" s="315">
        <v>5179465</v>
      </c>
      <c r="F47" s="195">
        <f t="shared" si="3"/>
        <v>288078</v>
      </c>
      <c r="G47" s="189" t="s">
        <v>482</v>
      </c>
      <c r="H47" s="337"/>
      <c r="K47" s="130"/>
      <c r="M47" s="130"/>
    </row>
    <row r="48" spans="1:13" s="131" customFormat="1" ht="14.1" customHeight="1">
      <c r="A48" s="28"/>
      <c r="B48" s="329">
        <v>404</v>
      </c>
      <c r="C48" s="190" t="s">
        <v>641</v>
      </c>
      <c r="D48" s="315">
        <v>5309</v>
      </c>
      <c r="E48" s="315">
        <v>70077</v>
      </c>
      <c r="F48" s="195">
        <f t="shared" si="3"/>
        <v>-64768</v>
      </c>
      <c r="G48" s="189" t="s">
        <v>482</v>
      </c>
      <c r="H48" s="337"/>
      <c r="K48" s="130"/>
      <c r="M48" s="130"/>
    </row>
    <row r="49" spans="1:13" s="32" customFormat="1" ht="14.1" customHeight="1">
      <c r="A49" s="28"/>
      <c r="B49" s="329">
        <v>404</v>
      </c>
      <c r="C49" s="190" t="s">
        <v>642</v>
      </c>
      <c r="D49" s="315">
        <v>1304740</v>
      </c>
      <c r="E49" s="315">
        <v>1257304</v>
      </c>
      <c r="F49" s="195">
        <f t="shared" si="3"/>
        <v>47436</v>
      </c>
      <c r="G49" s="189" t="s">
        <v>482</v>
      </c>
      <c r="H49" s="337">
        <v>563864</v>
      </c>
      <c r="K49" s="33"/>
      <c r="M49" s="33"/>
    </row>
    <row r="50" spans="1:13" ht="14.1" customHeight="1">
      <c r="A50" s="28"/>
      <c r="B50" s="329">
        <v>404</v>
      </c>
      <c r="C50" s="190" t="s">
        <v>643</v>
      </c>
      <c r="D50" s="315">
        <v>140719</v>
      </c>
      <c r="E50" s="315">
        <v>93593</v>
      </c>
      <c r="F50" s="195">
        <f>SUM(D50-E50)+7</f>
        <v>47133</v>
      </c>
      <c r="G50" s="189" t="s">
        <v>482</v>
      </c>
      <c r="H50" s="337"/>
      <c r="K50" s="130"/>
      <c r="L50" s="33"/>
      <c r="M50" s="33"/>
    </row>
    <row r="51" spans="1:13" ht="12.75">
      <c r="A51" s="29"/>
      <c r="B51" s="329">
        <v>404</v>
      </c>
      <c r="C51" s="320" t="s">
        <v>644</v>
      </c>
      <c r="D51" s="315"/>
      <c r="E51" s="315"/>
      <c r="F51" s="195">
        <v>1101934</v>
      </c>
      <c r="G51" s="189" t="s">
        <v>482</v>
      </c>
      <c r="H51" s="337"/>
      <c r="M51" s="33"/>
    </row>
    <row r="52" spans="1:13" ht="12.75">
      <c r="A52" s="28"/>
      <c r="B52" s="192">
        <v>404</v>
      </c>
      <c r="C52" s="193" t="s">
        <v>11</v>
      </c>
      <c r="D52" s="316"/>
      <c r="E52" s="316"/>
      <c r="F52" s="317">
        <f>SUM(F43:F51)</f>
        <v>47133</v>
      </c>
      <c r="G52" s="318"/>
      <c r="H52" s="338">
        <f>SUM(H43:H51)</f>
        <v>-39522</v>
      </c>
      <c r="M52" s="33"/>
    </row>
    <row r="53" spans="2:8" ht="12.75">
      <c r="B53" s="329"/>
      <c r="C53" s="190"/>
      <c r="D53" s="315"/>
      <c r="E53" s="315"/>
      <c r="F53" s="195"/>
      <c r="G53" s="189"/>
      <c r="H53" s="337"/>
    </row>
    <row r="54" spans="2:8" ht="12.75">
      <c r="B54" s="329">
        <v>406</v>
      </c>
      <c r="C54" s="190" t="s">
        <v>645</v>
      </c>
      <c r="D54" s="315">
        <v>20699668</v>
      </c>
      <c r="E54" s="315">
        <v>21339628</v>
      </c>
      <c r="F54" s="195">
        <f>SUM(D54-E54)</f>
        <v>-639960</v>
      </c>
      <c r="G54" s="189" t="s">
        <v>484</v>
      </c>
      <c r="H54" s="337">
        <v>-1681591</v>
      </c>
    </row>
    <row r="55" spans="2:8" ht="12.75">
      <c r="B55" s="329">
        <v>406</v>
      </c>
      <c r="C55" s="190" t="s">
        <v>646</v>
      </c>
      <c r="D55" s="315">
        <v>7936657</v>
      </c>
      <c r="E55" s="315">
        <v>8151665</v>
      </c>
      <c r="F55" s="195">
        <f>SUM(D55-E55)</f>
        <v>-215008</v>
      </c>
      <c r="G55" s="189" t="s">
        <v>484</v>
      </c>
      <c r="H55" s="337"/>
    </row>
    <row r="56" spans="2:8" ht="12.75">
      <c r="B56" s="329">
        <v>406</v>
      </c>
      <c r="C56" s="190" t="s">
        <v>647</v>
      </c>
      <c r="D56" s="315">
        <v>12947232</v>
      </c>
      <c r="E56" s="315">
        <v>11711238</v>
      </c>
      <c r="F56" s="195">
        <f>SUM(D56-E56)</f>
        <v>1235994</v>
      </c>
      <c r="G56" s="189" t="s">
        <v>484</v>
      </c>
      <c r="H56" s="337"/>
    </row>
    <row r="57" spans="2:8" ht="12.75">
      <c r="B57" s="329">
        <v>406</v>
      </c>
      <c r="C57" s="190" t="s">
        <v>648</v>
      </c>
      <c r="D57" s="315">
        <v>6241295</v>
      </c>
      <c r="E57" s="315">
        <v>6138124</v>
      </c>
      <c r="F57" s="195">
        <f>SUM(D57-E57)</f>
        <v>103171</v>
      </c>
      <c r="G57" s="189" t="s">
        <v>484</v>
      </c>
      <c r="H57" s="337"/>
    </row>
    <row r="58" spans="2:8" ht="12.75">
      <c r="B58" s="329">
        <v>406</v>
      </c>
      <c r="C58" s="190" t="s">
        <v>649</v>
      </c>
      <c r="D58" s="315">
        <v>1840633</v>
      </c>
      <c r="E58" s="315">
        <v>1825956</v>
      </c>
      <c r="F58" s="195">
        <f>SUM(D58-E58)</f>
        <v>14677</v>
      </c>
      <c r="G58" s="189" t="s">
        <v>484</v>
      </c>
      <c r="H58" s="337"/>
    </row>
    <row r="59" spans="2:8" ht="12.75">
      <c r="B59" s="329">
        <v>406</v>
      </c>
      <c r="C59" s="190" t="s">
        <v>650</v>
      </c>
      <c r="D59" s="315">
        <v>176091</v>
      </c>
      <c r="E59" s="315">
        <v>36560</v>
      </c>
      <c r="F59" s="195">
        <f>SUM(D59-E59)+3</f>
        <v>139534</v>
      </c>
      <c r="G59" s="189" t="s">
        <v>484</v>
      </c>
      <c r="H59" s="337"/>
    </row>
    <row r="60" spans="2:8" ht="12.75">
      <c r="B60" s="329">
        <v>406</v>
      </c>
      <c r="C60" s="320" t="s">
        <v>651</v>
      </c>
      <c r="D60" s="315"/>
      <c r="E60" s="315"/>
      <c r="F60" s="195">
        <v>-498874</v>
      </c>
      <c r="G60" s="189" t="s">
        <v>484</v>
      </c>
      <c r="H60" s="337"/>
    </row>
    <row r="61" spans="2:8" ht="12.75">
      <c r="B61" s="192">
        <v>406</v>
      </c>
      <c r="C61" s="193" t="s">
        <v>11</v>
      </c>
      <c r="D61" s="316"/>
      <c r="E61" s="316"/>
      <c r="F61" s="317">
        <f>SUM(F54:F60)</f>
        <v>139534</v>
      </c>
      <c r="G61" s="318"/>
      <c r="H61" s="338">
        <f>SUM(H54:H60)</f>
        <v>-1681591</v>
      </c>
    </row>
    <row r="62" spans="2:8" ht="12.75">
      <c r="B62" s="329"/>
      <c r="C62" s="190"/>
      <c r="D62" s="315"/>
      <c r="E62" s="315"/>
      <c r="F62" s="195"/>
      <c r="G62" s="189"/>
      <c r="H62" s="337"/>
    </row>
    <row r="63" spans="2:8" ht="25.5">
      <c r="B63" s="329">
        <v>409</v>
      </c>
      <c r="C63" s="190" t="s">
        <v>652</v>
      </c>
      <c r="D63" s="315">
        <v>0</v>
      </c>
      <c r="E63" s="315">
        <v>6943</v>
      </c>
      <c r="F63" s="195">
        <f>SUM(D63-E63)</f>
        <v>-6943</v>
      </c>
      <c r="G63" s="189" t="s">
        <v>486</v>
      </c>
      <c r="H63" s="337">
        <v>1713069</v>
      </c>
    </row>
    <row r="64" spans="2:8" ht="12.75">
      <c r="B64" s="329">
        <v>409</v>
      </c>
      <c r="C64" s="190" t="s">
        <v>653</v>
      </c>
      <c r="D64" s="315">
        <v>557310</v>
      </c>
      <c r="E64" s="315">
        <v>400455</v>
      </c>
      <c r="F64" s="195">
        <f aca="true" t="shared" si="4" ref="F64:F70">SUM(D64-E64)</f>
        <v>156855</v>
      </c>
      <c r="G64" s="189" t="s">
        <v>486</v>
      </c>
      <c r="H64" s="337"/>
    </row>
    <row r="65" spans="2:8" ht="12.75">
      <c r="B65" s="329">
        <v>409</v>
      </c>
      <c r="C65" s="190" t="s">
        <v>654</v>
      </c>
      <c r="D65" s="315">
        <v>225700</v>
      </c>
      <c r="E65" s="315">
        <v>223655</v>
      </c>
      <c r="F65" s="195">
        <f t="shared" si="4"/>
        <v>2045</v>
      </c>
      <c r="G65" s="189" t="s">
        <v>486</v>
      </c>
      <c r="H65" s="337"/>
    </row>
    <row r="66" spans="2:8" ht="12.75">
      <c r="B66" s="329">
        <v>409</v>
      </c>
      <c r="C66" s="190" t="s">
        <v>655</v>
      </c>
      <c r="D66" s="315">
        <v>8173514</v>
      </c>
      <c r="E66" s="315">
        <v>7993906</v>
      </c>
      <c r="F66" s="195">
        <f t="shared" si="4"/>
        <v>179608</v>
      </c>
      <c r="G66" s="189" t="s">
        <v>486</v>
      </c>
      <c r="H66" s="337"/>
    </row>
    <row r="67" spans="2:8" ht="12.75">
      <c r="B67" s="329">
        <v>409</v>
      </c>
      <c r="C67" s="190" t="s">
        <v>656</v>
      </c>
      <c r="D67" s="315">
        <v>16965293</v>
      </c>
      <c r="E67" s="315">
        <v>17532672</v>
      </c>
      <c r="F67" s="195">
        <f t="shared" si="4"/>
        <v>-567379</v>
      </c>
      <c r="G67" s="189" t="s">
        <v>486</v>
      </c>
      <c r="H67" s="337"/>
    </row>
    <row r="68" spans="2:8" ht="12.75">
      <c r="B68" s="329">
        <v>409</v>
      </c>
      <c r="C68" s="190" t="s">
        <v>657</v>
      </c>
      <c r="D68" s="315">
        <v>16198915</v>
      </c>
      <c r="E68" s="315">
        <v>16190258</v>
      </c>
      <c r="F68" s="195">
        <f t="shared" si="4"/>
        <v>8657</v>
      </c>
      <c r="G68" s="189" t="s">
        <v>486</v>
      </c>
      <c r="H68" s="337"/>
    </row>
    <row r="69" spans="2:8" ht="12.75">
      <c r="B69" s="329">
        <v>409</v>
      </c>
      <c r="C69" s="190" t="s">
        <v>658</v>
      </c>
      <c r="D69" s="315">
        <v>7775911</v>
      </c>
      <c r="E69" s="315">
        <v>7687384</v>
      </c>
      <c r="F69" s="195">
        <f t="shared" si="4"/>
        <v>88527</v>
      </c>
      <c r="G69" s="189" t="s">
        <v>486</v>
      </c>
      <c r="H69" s="337"/>
    </row>
    <row r="70" spans="2:8" ht="12.75">
      <c r="B70" s="329">
        <v>409</v>
      </c>
      <c r="C70" s="190" t="s">
        <v>659</v>
      </c>
      <c r="D70" s="315">
        <v>1858420</v>
      </c>
      <c r="E70" s="315">
        <v>1815113</v>
      </c>
      <c r="F70" s="195">
        <f t="shared" si="4"/>
        <v>43307</v>
      </c>
      <c r="G70" s="189" t="s">
        <v>486</v>
      </c>
      <c r="H70" s="337"/>
    </row>
    <row r="71" spans="2:8" ht="12.75">
      <c r="B71" s="329">
        <v>409</v>
      </c>
      <c r="C71" s="320" t="s">
        <v>660</v>
      </c>
      <c r="D71" s="315"/>
      <c r="E71" s="315"/>
      <c r="F71" s="195">
        <v>95323</v>
      </c>
      <c r="G71" s="189" t="s">
        <v>486</v>
      </c>
      <c r="H71" s="337"/>
    </row>
    <row r="72" spans="2:8" ht="12.75">
      <c r="B72" s="192">
        <v>409</v>
      </c>
      <c r="C72" s="193" t="s">
        <v>11</v>
      </c>
      <c r="D72" s="316"/>
      <c r="E72" s="316"/>
      <c r="F72" s="317">
        <f>SUM(F63:F71)</f>
        <v>0</v>
      </c>
      <c r="G72" s="318"/>
      <c r="H72" s="338">
        <f>SUM(H63:H71)</f>
        <v>1713069</v>
      </c>
    </row>
    <row r="73" spans="2:8" ht="12.75">
      <c r="B73" s="329"/>
      <c r="C73" s="190"/>
      <c r="D73" s="315"/>
      <c r="E73" s="315"/>
      <c r="F73" s="195"/>
      <c r="G73" s="189"/>
      <c r="H73" s="337"/>
    </row>
    <row r="74" spans="2:8" ht="12.75">
      <c r="B74" s="329">
        <v>412</v>
      </c>
      <c r="C74" s="190" t="s">
        <v>661</v>
      </c>
      <c r="D74" s="315">
        <v>6264376</v>
      </c>
      <c r="E74" s="315">
        <v>6085740</v>
      </c>
      <c r="F74" s="195">
        <f t="shared" si="1"/>
        <v>178636</v>
      </c>
      <c r="G74" s="189" t="s">
        <v>487</v>
      </c>
      <c r="H74" s="337">
        <v>289581</v>
      </c>
    </row>
    <row r="75" spans="2:8" ht="12.75">
      <c r="B75" s="329">
        <v>412</v>
      </c>
      <c r="C75" s="190" t="s">
        <v>662</v>
      </c>
      <c r="D75" s="315">
        <v>2101134</v>
      </c>
      <c r="E75" s="315">
        <v>2100302</v>
      </c>
      <c r="F75" s="195">
        <f t="shared" si="1"/>
        <v>832</v>
      </c>
      <c r="G75" s="189" t="s">
        <v>487</v>
      </c>
      <c r="H75" s="337"/>
    </row>
    <row r="76" spans="2:8" ht="12.75">
      <c r="B76" s="329">
        <v>412</v>
      </c>
      <c r="C76" s="190" t="s">
        <v>663</v>
      </c>
      <c r="D76" s="315">
        <v>7614482</v>
      </c>
      <c r="E76" s="315">
        <v>7308885</v>
      </c>
      <c r="F76" s="195">
        <f t="shared" si="1"/>
        <v>305597</v>
      </c>
      <c r="G76" s="189" t="s">
        <v>487</v>
      </c>
      <c r="H76" s="337"/>
    </row>
    <row r="77" spans="2:8" ht="12.75">
      <c r="B77" s="329">
        <v>412</v>
      </c>
      <c r="C77" s="190" t="s">
        <v>664</v>
      </c>
      <c r="D77" s="315">
        <v>7205796</v>
      </c>
      <c r="E77" s="315">
        <v>7204392</v>
      </c>
      <c r="F77" s="195">
        <f t="shared" si="1"/>
        <v>1404</v>
      </c>
      <c r="G77" s="189" t="s">
        <v>487</v>
      </c>
      <c r="H77" s="337"/>
    </row>
    <row r="78" spans="2:8" ht="12.75">
      <c r="B78" s="329">
        <v>412</v>
      </c>
      <c r="C78" s="190" t="s">
        <v>665</v>
      </c>
      <c r="D78" s="315">
        <v>2362850</v>
      </c>
      <c r="E78" s="315">
        <v>2206561</v>
      </c>
      <c r="F78" s="195">
        <f t="shared" si="1"/>
        <v>156289</v>
      </c>
      <c r="G78" s="189" t="s">
        <v>487</v>
      </c>
      <c r="H78" s="337"/>
    </row>
    <row r="79" spans="2:8" ht="12.75">
      <c r="B79" s="329">
        <v>412</v>
      </c>
      <c r="C79" s="190" t="s">
        <v>666</v>
      </c>
      <c r="D79" s="315">
        <v>419881</v>
      </c>
      <c r="E79" s="315">
        <v>410792</v>
      </c>
      <c r="F79" s="195">
        <f t="shared" si="1"/>
        <v>9089</v>
      </c>
      <c r="G79" s="189" t="s">
        <v>487</v>
      </c>
      <c r="H79" s="337"/>
    </row>
    <row r="80" spans="2:8" ht="25.5">
      <c r="B80" s="329">
        <v>412</v>
      </c>
      <c r="C80" s="190" t="s">
        <v>667</v>
      </c>
      <c r="D80" s="315">
        <v>7215310</v>
      </c>
      <c r="E80" s="315">
        <v>6978658</v>
      </c>
      <c r="F80" s="195">
        <f t="shared" si="1"/>
        <v>236652</v>
      </c>
      <c r="G80" s="189" t="s">
        <v>487</v>
      </c>
      <c r="H80" s="337"/>
    </row>
    <row r="81" spans="2:8" ht="12.75">
      <c r="B81" s="329">
        <v>412</v>
      </c>
      <c r="C81" s="190" t="s">
        <v>668</v>
      </c>
      <c r="D81" s="315">
        <v>9602118</v>
      </c>
      <c r="E81" s="315">
        <v>9071827</v>
      </c>
      <c r="F81" s="195">
        <f t="shared" si="1"/>
        <v>530291</v>
      </c>
      <c r="G81" s="189" t="s">
        <v>487</v>
      </c>
      <c r="H81" s="337"/>
    </row>
    <row r="82" spans="2:8" ht="12.75">
      <c r="B82" s="329">
        <v>412</v>
      </c>
      <c r="C82" s="190" t="s">
        <v>669</v>
      </c>
      <c r="D82" s="315">
        <v>1116962</v>
      </c>
      <c r="E82" s="315">
        <v>1104671</v>
      </c>
      <c r="F82" s="195">
        <f t="shared" si="1"/>
        <v>12291</v>
      </c>
      <c r="G82" s="189" t="s">
        <v>487</v>
      </c>
      <c r="H82" s="337"/>
    </row>
    <row r="83" spans="2:8" ht="12.75">
      <c r="B83" s="329">
        <v>412</v>
      </c>
      <c r="C83" s="190" t="s">
        <v>670</v>
      </c>
      <c r="D83" s="315">
        <v>20521</v>
      </c>
      <c r="E83" s="315">
        <v>-345746</v>
      </c>
      <c r="F83" s="195">
        <f>SUM(D83-E83)+2</f>
        <v>366269</v>
      </c>
      <c r="G83" s="189" t="s">
        <v>487</v>
      </c>
      <c r="H83" s="337"/>
    </row>
    <row r="84" spans="2:8" ht="12.75">
      <c r="B84" s="192">
        <v>412</v>
      </c>
      <c r="C84" s="193" t="s">
        <v>120</v>
      </c>
      <c r="D84" s="316"/>
      <c r="E84" s="316"/>
      <c r="F84" s="317">
        <f>SUM(F74:F83)</f>
        <v>1797350</v>
      </c>
      <c r="G84" s="318"/>
      <c r="H84" s="338">
        <f>SUM(H74:H83)</f>
        <v>289581</v>
      </c>
    </row>
    <row r="85" spans="2:8" ht="12.75">
      <c r="B85" s="329"/>
      <c r="C85" s="190"/>
      <c r="D85" s="315"/>
      <c r="E85" s="315"/>
      <c r="F85" s="195"/>
      <c r="G85" s="189"/>
      <c r="H85" s="337"/>
    </row>
    <row r="86" spans="2:8" ht="25.5">
      <c r="B86" s="329">
        <v>415</v>
      </c>
      <c r="C86" s="190" t="s">
        <v>671</v>
      </c>
      <c r="D86" s="315">
        <v>1791844</v>
      </c>
      <c r="E86" s="315">
        <v>1875349</v>
      </c>
      <c r="F86" s="195">
        <f t="shared" si="1"/>
        <v>-83505</v>
      </c>
      <c r="G86" s="189" t="s">
        <v>488</v>
      </c>
      <c r="H86" s="337">
        <v>161399</v>
      </c>
    </row>
    <row r="87" spans="2:8" ht="12.75">
      <c r="B87" s="329">
        <v>415</v>
      </c>
      <c r="C87" s="188" t="s">
        <v>672</v>
      </c>
      <c r="D87" s="315">
        <v>103757</v>
      </c>
      <c r="E87" s="315">
        <v>402894</v>
      </c>
      <c r="F87" s="195">
        <f t="shared" si="1"/>
        <v>-299137</v>
      </c>
      <c r="G87" s="189" t="s">
        <v>488</v>
      </c>
      <c r="H87" s="337">
        <v>-324149</v>
      </c>
    </row>
    <row r="88" spans="2:8" ht="12.75">
      <c r="B88" s="329">
        <v>415</v>
      </c>
      <c r="C88" s="188" t="s">
        <v>673</v>
      </c>
      <c r="D88" s="315">
        <v>5589031</v>
      </c>
      <c r="E88" s="315">
        <v>5561508</v>
      </c>
      <c r="F88" s="195">
        <f t="shared" si="1"/>
        <v>27523</v>
      </c>
      <c r="G88" s="189" t="s">
        <v>488</v>
      </c>
      <c r="H88" s="337">
        <v>-268159</v>
      </c>
    </row>
    <row r="89" spans="2:8" ht="12.75">
      <c r="B89" s="329">
        <v>415</v>
      </c>
      <c r="C89" s="188" t="s">
        <v>674</v>
      </c>
      <c r="D89" s="315">
        <v>77043</v>
      </c>
      <c r="E89" s="315">
        <v>77043</v>
      </c>
      <c r="F89" s="195">
        <f t="shared" si="1"/>
        <v>0</v>
      </c>
      <c r="G89" s="189" t="s">
        <v>488</v>
      </c>
      <c r="H89" s="337">
        <v>0</v>
      </c>
    </row>
    <row r="90" spans="2:8" ht="12.75">
      <c r="B90" s="329">
        <v>415</v>
      </c>
      <c r="C90" s="188" t="s">
        <v>675</v>
      </c>
      <c r="D90" s="315">
        <v>0</v>
      </c>
      <c r="E90" s="315">
        <v>-188792</v>
      </c>
      <c r="F90" s="195">
        <f t="shared" si="1"/>
        <v>188792</v>
      </c>
      <c r="G90" s="189" t="s">
        <v>488</v>
      </c>
      <c r="H90" s="337">
        <v>243409</v>
      </c>
    </row>
    <row r="91" spans="2:8" ht="12.75">
      <c r="B91" s="329">
        <v>415</v>
      </c>
      <c r="C91" s="188" t="s">
        <v>676</v>
      </c>
      <c r="D91" s="315">
        <v>930452</v>
      </c>
      <c r="E91" s="315">
        <v>930452</v>
      </c>
      <c r="F91" s="195">
        <f t="shared" si="1"/>
        <v>0</v>
      </c>
      <c r="G91" s="189" t="s">
        <v>488</v>
      </c>
      <c r="H91" s="337">
        <v>210415</v>
      </c>
    </row>
    <row r="92" spans="2:8" ht="12.75">
      <c r="B92" s="329">
        <v>415</v>
      </c>
      <c r="C92" s="188" t="s">
        <v>677</v>
      </c>
      <c r="D92" s="315">
        <v>2362728</v>
      </c>
      <c r="E92" s="315">
        <v>2021487</v>
      </c>
      <c r="F92" s="195">
        <f t="shared" si="1"/>
        <v>341241</v>
      </c>
      <c r="G92" s="189" t="s">
        <v>488</v>
      </c>
      <c r="H92" s="337">
        <v>148451</v>
      </c>
    </row>
    <row r="93" spans="2:8" ht="12.75">
      <c r="B93" s="329">
        <v>415</v>
      </c>
      <c r="C93" s="188" t="s">
        <v>678</v>
      </c>
      <c r="D93" s="315">
        <v>1212857</v>
      </c>
      <c r="E93" s="315">
        <v>1140668</v>
      </c>
      <c r="F93" s="195">
        <f t="shared" si="1"/>
        <v>72189</v>
      </c>
      <c r="G93" s="189" t="s">
        <v>488</v>
      </c>
      <c r="H93" s="337">
        <v>-28869</v>
      </c>
    </row>
    <row r="94" spans="2:8" ht="12.75">
      <c r="B94" s="329">
        <v>415</v>
      </c>
      <c r="C94" s="188" t="s">
        <v>679</v>
      </c>
      <c r="D94" s="315">
        <v>2453654</v>
      </c>
      <c r="E94" s="315">
        <v>2432274</v>
      </c>
      <c r="F94" s="195">
        <f t="shared" si="1"/>
        <v>21380</v>
      </c>
      <c r="G94" s="189" t="s">
        <v>488</v>
      </c>
      <c r="H94" s="337">
        <v>51670</v>
      </c>
    </row>
    <row r="95" spans="2:8" ht="12.75">
      <c r="B95" s="192">
        <v>415</v>
      </c>
      <c r="C95" s="194" t="s">
        <v>63</v>
      </c>
      <c r="D95" s="316"/>
      <c r="E95" s="316"/>
      <c r="F95" s="317">
        <f>SUM(F86:F94)</f>
        <v>268483</v>
      </c>
      <c r="G95" s="318"/>
      <c r="H95" s="338">
        <f>SUM(H86:H94)</f>
        <v>194167</v>
      </c>
    </row>
    <row r="96" spans="2:8" ht="12.75">
      <c r="B96" s="329"/>
      <c r="C96" s="188"/>
      <c r="D96" s="315"/>
      <c r="E96" s="315"/>
      <c r="F96" s="195"/>
      <c r="G96" s="189"/>
      <c r="H96" s="337"/>
    </row>
    <row r="97" spans="2:8" ht="12.75">
      <c r="B97" s="192">
        <v>416</v>
      </c>
      <c r="C97" s="194" t="s">
        <v>377</v>
      </c>
      <c r="D97" s="316">
        <v>1463835</v>
      </c>
      <c r="E97" s="316">
        <v>1277445</v>
      </c>
      <c r="F97" s="317">
        <f t="shared" si="1"/>
        <v>186390</v>
      </c>
      <c r="G97" s="318" t="s">
        <v>489</v>
      </c>
      <c r="H97" s="338">
        <v>11183</v>
      </c>
    </row>
    <row r="98" spans="2:8" ht="12.75">
      <c r="B98" s="192">
        <v>417</v>
      </c>
      <c r="C98" s="193" t="s">
        <v>121</v>
      </c>
      <c r="D98" s="316">
        <v>34799488</v>
      </c>
      <c r="E98" s="316">
        <v>34421258</v>
      </c>
      <c r="F98" s="317">
        <f t="shared" si="1"/>
        <v>378230</v>
      </c>
      <c r="G98" s="318" t="s">
        <v>490</v>
      </c>
      <c r="H98" s="338">
        <v>-152080</v>
      </c>
    </row>
    <row r="99" spans="2:8" ht="12.75">
      <c r="B99" s="192">
        <v>418</v>
      </c>
      <c r="C99" s="193" t="s">
        <v>122</v>
      </c>
      <c r="D99" s="316">
        <v>7622620</v>
      </c>
      <c r="E99" s="316">
        <v>7577871</v>
      </c>
      <c r="F99" s="317">
        <f t="shared" si="1"/>
        <v>44749</v>
      </c>
      <c r="G99" s="318" t="s">
        <v>491</v>
      </c>
      <c r="H99" s="338">
        <v>248174</v>
      </c>
    </row>
    <row r="100" spans="2:8" ht="12.75">
      <c r="B100" s="192"/>
      <c r="C100" s="193"/>
      <c r="D100" s="316"/>
      <c r="E100" s="316"/>
      <c r="F100" s="317"/>
      <c r="G100" s="318"/>
      <c r="H100" s="338"/>
    </row>
    <row r="101" spans="2:8" ht="12.75">
      <c r="B101" s="329">
        <v>420</v>
      </c>
      <c r="C101" s="190" t="s">
        <v>680</v>
      </c>
      <c r="D101" s="315">
        <v>4154288</v>
      </c>
      <c r="E101" s="315">
        <v>4946720</v>
      </c>
      <c r="F101" s="195">
        <f t="shared" si="1"/>
        <v>-792432</v>
      </c>
      <c r="G101" s="189" t="s">
        <v>492</v>
      </c>
      <c r="H101" s="337">
        <v>769891</v>
      </c>
    </row>
    <row r="102" spans="2:8" ht="12.75">
      <c r="B102" s="329">
        <v>420</v>
      </c>
      <c r="C102" s="190" t="s">
        <v>681</v>
      </c>
      <c r="D102" s="315">
        <v>3611483</v>
      </c>
      <c r="E102" s="315">
        <v>3611483</v>
      </c>
      <c r="F102" s="195">
        <f t="shared" si="1"/>
        <v>0</v>
      </c>
      <c r="G102" s="189" t="s">
        <v>492</v>
      </c>
      <c r="H102" s="337"/>
    </row>
    <row r="103" spans="2:8" ht="12.75">
      <c r="B103" s="329">
        <v>420</v>
      </c>
      <c r="C103" s="190" t="s">
        <v>682</v>
      </c>
      <c r="D103" s="315">
        <v>8319094</v>
      </c>
      <c r="E103" s="315">
        <v>7840595</v>
      </c>
      <c r="F103" s="195">
        <f>SUM(D103-E103)-3</f>
        <v>478496</v>
      </c>
      <c r="G103" s="189" t="s">
        <v>492</v>
      </c>
      <c r="H103" s="337"/>
    </row>
    <row r="104" spans="2:8" ht="12.75">
      <c r="B104" s="329">
        <v>420</v>
      </c>
      <c r="C104" s="190" t="s">
        <v>683</v>
      </c>
      <c r="D104" s="315">
        <v>1613812</v>
      </c>
      <c r="E104" s="315">
        <v>1641445</v>
      </c>
      <c r="F104" s="195">
        <f t="shared" si="1"/>
        <v>-27633</v>
      </c>
      <c r="G104" s="189" t="s">
        <v>492</v>
      </c>
      <c r="H104" s="337"/>
    </row>
    <row r="105" spans="2:8" ht="25.5">
      <c r="B105" s="329">
        <v>420</v>
      </c>
      <c r="C105" s="190" t="s">
        <v>684</v>
      </c>
      <c r="D105" s="315">
        <v>3551368</v>
      </c>
      <c r="E105" s="315">
        <v>3515799</v>
      </c>
      <c r="F105" s="195">
        <f t="shared" si="1"/>
        <v>35569</v>
      </c>
      <c r="G105" s="189" t="s">
        <v>492</v>
      </c>
      <c r="H105" s="337"/>
    </row>
    <row r="106" spans="2:8" ht="25.5">
      <c r="B106" s="329">
        <v>420</v>
      </c>
      <c r="C106" s="190" t="s">
        <v>685</v>
      </c>
      <c r="D106" s="315">
        <v>3332868</v>
      </c>
      <c r="E106" s="315">
        <v>3427977</v>
      </c>
      <c r="F106" s="195">
        <f t="shared" si="1"/>
        <v>-95109</v>
      </c>
      <c r="G106" s="189" t="s">
        <v>492</v>
      </c>
      <c r="H106" s="337"/>
    </row>
    <row r="107" spans="2:8" ht="12.75">
      <c r="B107" s="329">
        <v>420</v>
      </c>
      <c r="C107" s="190" t="s">
        <v>686</v>
      </c>
      <c r="D107" s="315">
        <v>2075920</v>
      </c>
      <c r="E107" s="315">
        <v>2017979</v>
      </c>
      <c r="F107" s="195">
        <f t="shared" si="1"/>
        <v>57941</v>
      </c>
      <c r="G107" s="189" t="s">
        <v>492</v>
      </c>
      <c r="H107" s="337"/>
    </row>
    <row r="108" spans="2:8" ht="12.75">
      <c r="B108" s="329">
        <v>420</v>
      </c>
      <c r="C108" s="190" t="s">
        <v>687</v>
      </c>
      <c r="D108" s="315">
        <v>12790071</v>
      </c>
      <c r="E108" s="315">
        <v>12132641</v>
      </c>
      <c r="F108" s="195">
        <f t="shared" si="1"/>
        <v>657430</v>
      </c>
      <c r="G108" s="189" t="s">
        <v>492</v>
      </c>
      <c r="H108" s="337">
        <v>-137475</v>
      </c>
    </row>
    <row r="109" spans="2:8" ht="12.75">
      <c r="B109" s="329">
        <v>420</v>
      </c>
      <c r="C109" s="190" t="s">
        <v>688</v>
      </c>
      <c r="D109" s="315">
        <v>8179254</v>
      </c>
      <c r="E109" s="315">
        <v>8183124</v>
      </c>
      <c r="F109" s="195">
        <f t="shared" si="1"/>
        <v>-3870</v>
      </c>
      <c r="G109" s="189" t="s">
        <v>492</v>
      </c>
      <c r="H109" s="337">
        <v>182911</v>
      </c>
    </row>
    <row r="110" spans="2:8" ht="12.75">
      <c r="B110" s="329">
        <v>420</v>
      </c>
      <c r="C110" s="190" t="s">
        <v>689</v>
      </c>
      <c r="D110" s="315">
        <v>4666750</v>
      </c>
      <c r="E110" s="315">
        <v>4689013</v>
      </c>
      <c r="F110" s="195">
        <f t="shared" si="1"/>
        <v>-22263</v>
      </c>
      <c r="G110" s="189" t="s">
        <v>492</v>
      </c>
      <c r="H110" s="337"/>
    </row>
    <row r="111" spans="2:8" ht="12.75">
      <c r="B111" s="329">
        <v>420</v>
      </c>
      <c r="C111" s="190" t="s">
        <v>690</v>
      </c>
      <c r="D111" s="315">
        <v>6341694</v>
      </c>
      <c r="E111" s="315">
        <v>5913708</v>
      </c>
      <c r="F111" s="195">
        <f t="shared" si="1"/>
        <v>427986</v>
      </c>
      <c r="G111" s="189" t="s">
        <v>492</v>
      </c>
      <c r="H111" s="337"/>
    </row>
    <row r="112" spans="2:8" ht="25.5">
      <c r="B112" s="329">
        <v>420</v>
      </c>
      <c r="C112" s="190" t="s">
        <v>691</v>
      </c>
      <c r="D112" s="315">
        <f>5700864+4604000</f>
        <v>10304864</v>
      </c>
      <c r="E112" s="315">
        <f>5438458+4681945</f>
        <v>10120403</v>
      </c>
      <c r="F112" s="195">
        <f t="shared" si="1"/>
        <v>184461</v>
      </c>
      <c r="G112" s="189" t="s">
        <v>492</v>
      </c>
      <c r="H112" s="337">
        <v>32372</v>
      </c>
    </row>
    <row r="113" spans="2:8" ht="12.75">
      <c r="B113" s="192">
        <v>420</v>
      </c>
      <c r="C113" s="193" t="s">
        <v>214</v>
      </c>
      <c r="D113" s="316"/>
      <c r="E113" s="316"/>
      <c r="F113" s="317">
        <f>SUM(F101:F112)</f>
        <v>900576</v>
      </c>
      <c r="G113" s="318"/>
      <c r="H113" s="338">
        <f>SUM(H101:H112)</f>
        <v>847699</v>
      </c>
    </row>
    <row r="114" spans="2:8" ht="12.75">
      <c r="B114" s="329"/>
      <c r="C114" s="190"/>
      <c r="D114" s="315"/>
      <c r="E114" s="315"/>
      <c r="F114" s="195"/>
      <c r="G114" s="189"/>
      <c r="H114" s="337"/>
    </row>
    <row r="115" spans="2:8" ht="12.75">
      <c r="B115" s="192">
        <v>482</v>
      </c>
      <c r="C115" s="193" t="s">
        <v>199</v>
      </c>
      <c r="D115" s="316">
        <v>12820433</v>
      </c>
      <c r="E115" s="316">
        <v>12602964</v>
      </c>
      <c r="F115" s="317">
        <f t="shared" si="1"/>
        <v>217469</v>
      </c>
      <c r="G115" s="318" t="s">
        <v>493</v>
      </c>
      <c r="H115" s="338">
        <v>296732</v>
      </c>
    </row>
    <row r="116" spans="2:8" ht="12.75">
      <c r="B116" s="192"/>
      <c r="C116" s="193"/>
      <c r="D116" s="316"/>
      <c r="E116" s="316"/>
      <c r="F116" s="317"/>
      <c r="G116" s="318"/>
      <c r="H116" s="338"/>
    </row>
    <row r="117" spans="2:8" ht="12.75">
      <c r="B117" s="329">
        <v>502</v>
      </c>
      <c r="C117" s="190" t="s">
        <v>692</v>
      </c>
      <c r="D117" s="315">
        <v>1740317</v>
      </c>
      <c r="E117" s="315">
        <v>1832783</v>
      </c>
      <c r="F117" s="195">
        <f t="shared" si="1"/>
        <v>-92466</v>
      </c>
      <c r="G117" s="189" t="s">
        <v>693</v>
      </c>
      <c r="H117" s="337"/>
    </row>
    <row r="118" spans="2:8" ht="12.75">
      <c r="B118" s="329">
        <v>502</v>
      </c>
      <c r="C118" s="320" t="s">
        <v>694</v>
      </c>
      <c r="D118" s="315"/>
      <c r="E118" s="315"/>
      <c r="F118" s="195">
        <v>92466</v>
      </c>
      <c r="G118" s="189" t="s">
        <v>693</v>
      </c>
      <c r="H118" s="337"/>
    </row>
    <row r="119" spans="2:8" ht="12.75">
      <c r="B119" s="192">
        <v>502</v>
      </c>
      <c r="C119" s="193" t="s">
        <v>695</v>
      </c>
      <c r="D119" s="316"/>
      <c r="E119" s="316"/>
      <c r="F119" s="317">
        <f>SUM(F117:F118)</f>
        <v>0</v>
      </c>
      <c r="G119" s="318"/>
      <c r="H119" s="338">
        <f>SUM(H117:H118)</f>
        <v>0</v>
      </c>
    </row>
    <row r="120" spans="2:8" ht="12.75">
      <c r="B120" s="329"/>
      <c r="C120" s="190"/>
      <c r="D120" s="315"/>
      <c r="E120" s="315"/>
      <c r="F120" s="195"/>
      <c r="G120" s="189"/>
      <c r="H120" s="337"/>
    </row>
    <row r="121" spans="2:8" ht="12.75">
      <c r="B121" s="329">
        <v>601</v>
      </c>
      <c r="C121" s="190" t="s">
        <v>494</v>
      </c>
      <c r="D121" s="315">
        <f>885400+705690+2419100</f>
        <v>4010190</v>
      </c>
      <c r="E121" s="315">
        <f>663638+656471+2315142+398999-1141</f>
        <v>4033109</v>
      </c>
      <c r="F121" s="195">
        <f t="shared" si="1"/>
        <v>-22919</v>
      </c>
      <c r="G121" s="189" t="s">
        <v>495</v>
      </c>
      <c r="H121" s="337">
        <v>-1909</v>
      </c>
    </row>
    <row r="122" spans="2:8" ht="12.75">
      <c r="B122" s="329">
        <v>601</v>
      </c>
      <c r="C122" s="190" t="s">
        <v>696</v>
      </c>
      <c r="D122" s="315">
        <v>1358201</v>
      </c>
      <c r="E122" s="315">
        <v>1113949</v>
      </c>
      <c r="F122" s="195">
        <f t="shared" si="1"/>
        <v>244252</v>
      </c>
      <c r="G122" s="189" t="s">
        <v>495</v>
      </c>
      <c r="H122" s="337"/>
    </row>
    <row r="123" spans="2:8" ht="12.75">
      <c r="B123" s="192">
        <v>601</v>
      </c>
      <c r="C123" s="193" t="s">
        <v>697</v>
      </c>
      <c r="D123" s="316"/>
      <c r="E123" s="316"/>
      <c r="F123" s="317">
        <f>SUM(F121:F122)</f>
        <v>221333</v>
      </c>
      <c r="G123" s="318"/>
      <c r="H123" s="338">
        <f>SUM(H121:H122)</f>
        <v>-1909</v>
      </c>
    </row>
    <row r="124" spans="2:8" ht="12.75">
      <c r="B124" s="329"/>
      <c r="C124" s="190"/>
      <c r="D124" s="315"/>
      <c r="E124" s="315"/>
      <c r="F124" s="195"/>
      <c r="G124" s="189"/>
      <c r="H124" s="337"/>
    </row>
    <row r="125" spans="2:8" ht="12.75">
      <c r="B125" s="192">
        <v>610</v>
      </c>
      <c r="C125" s="193" t="s">
        <v>264</v>
      </c>
      <c r="D125" s="316">
        <v>5399643</v>
      </c>
      <c r="E125" s="316">
        <v>5283252</v>
      </c>
      <c r="F125" s="317">
        <f t="shared" si="1"/>
        <v>116391</v>
      </c>
      <c r="G125" s="318" t="s">
        <v>497</v>
      </c>
      <c r="H125" s="338">
        <v>53485</v>
      </c>
    </row>
    <row r="126" spans="2:8" ht="12.75">
      <c r="B126" s="192">
        <v>620</v>
      </c>
      <c r="C126" s="193" t="s">
        <v>385</v>
      </c>
      <c r="D126" s="316">
        <v>61610</v>
      </c>
      <c r="E126" s="316">
        <v>66852</v>
      </c>
      <c r="F126" s="317">
        <f aca="true" t="shared" si="5" ref="F126">SUM(D126-E126)</f>
        <v>-5242</v>
      </c>
      <c r="G126" s="318" t="s">
        <v>496</v>
      </c>
      <c r="H126" s="338">
        <v>0</v>
      </c>
    </row>
    <row r="127" spans="2:8" ht="12.75">
      <c r="B127" s="329"/>
      <c r="C127" s="190"/>
      <c r="D127" s="315"/>
      <c r="E127" s="315"/>
      <c r="F127" s="195"/>
      <c r="G127" s="189"/>
      <c r="H127" s="337"/>
    </row>
    <row r="128" spans="2:8" ht="12.75">
      <c r="B128" s="322" t="s">
        <v>379</v>
      </c>
      <c r="C128" s="193"/>
      <c r="D128" s="315"/>
      <c r="E128" s="315"/>
      <c r="F128" s="195"/>
      <c r="G128" s="189"/>
      <c r="H128" s="337"/>
    </row>
    <row r="129" spans="2:8" ht="12.75">
      <c r="B129" s="192">
        <v>105</v>
      </c>
      <c r="C129" s="193" t="s">
        <v>215</v>
      </c>
      <c r="D129" s="316">
        <v>4488182</v>
      </c>
      <c r="E129" s="316">
        <v>4488182</v>
      </c>
      <c r="F129" s="317">
        <f t="shared" si="1"/>
        <v>0</v>
      </c>
      <c r="G129" s="318" t="s">
        <v>475</v>
      </c>
      <c r="H129" s="338">
        <v>-2295</v>
      </c>
    </row>
    <row r="130" spans="2:8" ht="12.75">
      <c r="B130" s="192">
        <v>115</v>
      </c>
      <c r="C130" s="193" t="s">
        <v>261</v>
      </c>
      <c r="D130" s="316">
        <v>1336800</v>
      </c>
      <c r="E130" s="316">
        <v>1323053</v>
      </c>
      <c r="F130" s="317">
        <f t="shared" si="1"/>
        <v>13747</v>
      </c>
      <c r="G130" s="318" t="s">
        <v>476</v>
      </c>
      <c r="H130" s="338">
        <v>-56739</v>
      </c>
    </row>
    <row r="131" spans="2:8" ht="12.75">
      <c r="B131" s="192">
        <v>401</v>
      </c>
      <c r="C131" s="193" t="s">
        <v>498</v>
      </c>
      <c r="D131" s="316">
        <v>2490549</v>
      </c>
      <c r="E131" s="316">
        <v>2045093</v>
      </c>
      <c r="F131" s="317">
        <f t="shared" si="1"/>
        <v>445456</v>
      </c>
      <c r="G131" s="318" t="s">
        <v>477</v>
      </c>
      <c r="H131" s="338">
        <v>453949</v>
      </c>
    </row>
    <row r="132" spans="2:8" ht="12.75">
      <c r="B132" s="329"/>
      <c r="C132" s="190"/>
      <c r="D132" s="315"/>
      <c r="E132" s="315"/>
      <c r="F132" s="195"/>
      <c r="G132" s="189"/>
      <c r="H132" s="337"/>
    </row>
    <row r="133" spans="2:8" ht="12.75">
      <c r="B133" s="322" t="s">
        <v>378</v>
      </c>
      <c r="C133" s="188"/>
      <c r="D133" s="315"/>
      <c r="E133" s="315"/>
      <c r="F133" s="195"/>
      <c r="G133" s="189"/>
      <c r="H133" s="337"/>
    </row>
    <row r="134" spans="2:8" ht="12.75">
      <c r="B134" s="329">
        <v>105</v>
      </c>
      <c r="C134" s="323" t="s">
        <v>698</v>
      </c>
      <c r="D134" s="315">
        <v>1437380</v>
      </c>
      <c r="E134" s="315">
        <v>348308</v>
      </c>
      <c r="F134" s="195">
        <f aca="true" t="shared" si="6" ref="F134">SUM(D134-E134)</f>
        <v>1089072</v>
      </c>
      <c r="G134" s="189" t="s">
        <v>475</v>
      </c>
      <c r="H134" s="337">
        <f>799077+27562</f>
        <v>826639</v>
      </c>
    </row>
    <row r="135" spans="2:8" ht="12.75">
      <c r="B135" s="329">
        <v>105</v>
      </c>
      <c r="C135" s="323" t="s">
        <v>699</v>
      </c>
      <c r="D135" s="315">
        <v>1380010</v>
      </c>
      <c r="E135" s="315">
        <v>506807</v>
      </c>
      <c r="F135" s="195">
        <f>SUM(D135-E135)</f>
        <v>873203</v>
      </c>
      <c r="G135" s="189" t="s">
        <v>475</v>
      </c>
      <c r="H135" s="337">
        <v>0</v>
      </c>
    </row>
    <row r="136" spans="2:8" ht="12.75">
      <c r="B136" s="329">
        <v>105</v>
      </c>
      <c r="C136" s="323" t="s">
        <v>700</v>
      </c>
      <c r="D136" s="315">
        <v>1647227</v>
      </c>
      <c r="E136" s="315">
        <f>1298470-1259126</f>
        <v>39344</v>
      </c>
      <c r="F136" s="195">
        <f aca="true" t="shared" si="7" ref="F136:F152">SUM(D136-E136)</f>
        <v>1607883</v>
      </c>
      <c r="G136" s="189" t="s">
        <v>475</v>
      </c>
      <c r="H136" s="337">
        <v>301747</v>
      </c>
    </row>
    <row r="137" spans="2:8" ht="12.75">
      <c r="B137" s="329">
        <v>105</v>
      </c>
      <c r="C137" s="323" t="s">
        <v>701</v>
      </c>
      <c r="D137" s="315">
        <v>658066</v>
      </c>
      <c r="E137" s="315">
        <v>303860</v>
      </c>
      <c r="F137" s="195">
        <f t="shared" si="7"/>
        <v>354206</v>
      </c>
      <c r="G137" s="189" t="s">
        <v>475</v>
      </c>
      <c r="H137" s="337">
        <v>398566</v>
      </c>
    </row>
    <row r="138" spans="2:8" ht="12.75">
      <c r="B138" s="329">
        <v>105</v>
      </c>
      <c r="C138" s="323" t="s">
        <v>702</v>
      </c>
      <c r="D138" s="315">
        <v>1092733</v>
      </c>
      <c r="E138" s="315">
        <v>1070717</v>
      </c>
      <c r="F138" s="195">
        <f t="shared" si="7"/>
        <v>22016</v>
      </c>
      <c r="G138" s="189" t="s">
        <v>475</v>
      </c>
      <c r="H138" s="337">
        <v>0</v>
      </c>
    </row>
    <row r="139" spans="2:8" ht="12.75">
      <c r="B139" s="329">
        <v>105</v>
      </c>
      <c r="C139" s="323" t="s">
        <v>703</v>
      </c>
      <c r="D139" s="315">
        <v>1036552</v>
      </c>
      <c r="E139" s="315">
        <v>285662</v>
      </c>
      <c r="F139" s="195">
        <f t="shared" si="7"/>
        <v>750890</v>
      </c>
      <c r="G139" s="189" t="s">
        <v>475</v>
      </c>
      <c r="H139" s="337">
        <f>2640367-H134-H140</f>
        <v>285984</v>
      </c>
    </row>
    <row r="140" spans="2:8" ht="12.75">
      <c r="B140" s="329">
        <v>105</v>
      </c>
      <c r="C140" s="323" t="s">
        <v>704</v>
      </c>
      <c r="D140" s="315">
        <v>1259958</v>
      </c>
      <c r="E140" s="315">
        <v>235010</v>
      </c>
      <c r="F140" s="195">
        <f t="shared" si="7"/>
        <v>1024948</v>
      </c>
      <c r="G140" s="189" t="s">
        <v>475</v>
      </c>
      <c r="H140" s="337">
        <f>1527744</f>
        <v>1527744</v>
      </c>
    </row>
    <row r="141" spans="2:8" ht="12.75">
      <c r="B141" s="329">
        <v>105</v>
      </c>
      <c r="C141" s="323" t="s">
        <v>705</v>
      </c>
      <c r="D141" s="315">
        <v>945604</v>
      </c>
      <c r="E141" s="315">
        <v>891408</v>
      </c>
      <c r="F141" s="195">
        <f t="shared" si="7"/>
        <v>54196</v>
      </c>
      <c r="G141" s="189" t="s">
        <v>475</v>
      </c>
      <c r="H141" s="337">
        <v>0</v>
      </c>
    </row>
    <row r="142" spans="2:8" ht="12.75">
      <c r="B142" s="329">
        <v>105</v>
      </c>
      <c r="C142" s="324" t="s">
        <v>706</v>
      </c>
      <c r="D142" s="315"/>
      <c r="E142" s="315"/>
      <c r="F142" s="195">
        <v>-54196</v>
      </c>
      <c r="G142" s="189" t="s">
        <v>475</v>
      </c>
      <c r="H142" s="337">
        <v>0</v>
      </c>
    </row>
    <row r="143" spans="2:8" ht="12.75">
      <c r="B143" s="192">
        <v>105</v>
      </c>
      <c r="C143" s="325" t="s">
        <v>707</v>
      </c>
      <c r="D143" s="316"/>
      <c r="E143" s="316"/>
      <c r="F143" s="317">
        <f>SUM(F134:F142)</f>
        <v>5722218</v>
      </c>
      <c r="G143" s="318"/>
      <c r="H143" s="338">
        <f>SUM(H134:H142)</f>
        <v>3340680</v>
      </c>
    </row>
    <row r="144" spans="2:8" ht="12.75">
      <c r="B144" s="329"/>
      <c r="C144" s="323"/>
      <c r="D144" s="315"/>
      <c r="E144" s="315"/>
      <c r="F144" s="195"/>
      <c r="G144" s="189"/>
      <c r="H144" s="337"/>
    </row>
    <row r="145" spans="2:8" ht="12.75">
      <c r="B145" s="329">
        <v>115</v>
      </c>
      <c r="C145" s="323" t="s">
        <v>708</v>
      </c>
      <c r="D145" s="315">
        <v>450000</v>
      </c>
      <c r="E145" s="315">
        <v>262290</v>
      </c>
      <c r="F145" s="195">
        <f t="shared" si="7"/>
        <v>187710</v>
      </c>
      <c r="G145" s="189" t="s">
        <v>476</v>
      </c>
      <c r="H145" s="337">
        <v>0</v>
      </c>
    </row>
    <row r="146" spans="2:8" ht="12.75">
      <c r="B146" s="329">
        <v>115</v>
      </c>
      <c r="C146" s="323" t="s">
        <v>709</v>
      </c>
      <c r="D146" s="315">
        <v>215356</v>
      </c>
      <c r="E146" s="315">
        <v>35597</v>
      </c>
      <c r="F146" s="195">
        <f t="shared" si="7"/>
        <v>179759</v>
      </c>
      <c r="G146" s="189" t="s">
        <v>476</v>
      </c>
      <c r="H146" s="337">
        <v>137266</v>
      </c>
    </row>
    <row r="147" spans="2:8" ht="12.75">
      <c r="B147" s="329">
        <v>115</v>
      </c>
      <c r="C147" s="323" t="s">
        <v>710</v>
      </c>
      <c r="D147" s="315">
        <v>10312</v>
      </c>
      <c r="E147" s="315">
        <v>0</v>
      </c>
      <c r="F147" s="195">
        <f t="shared" si="7"/>
        <v>10312</v>
      </c>
      <c r="G147" s="189" t="s">
        <v>476</v>
      </c>
      <c r="H147" s="337">
        <v>0</v>
      </c>
    </row>
    <row r="148" spans="2:8" ht="12.75">
      <c r="B148" s="329">
        <v>115</v>
      </c>
      <c r="C148" s="323" t="s">
        <v>711</v>
      </c>
      <c r="D148" s="315">
        <v>124480</v>
      </c>
      <c r="E148" s="315">
        <v>124174</v>
      </c>
      <c r="F148" s="195">
        <f t="shared" si="7"/>
        <v>306</v>
      </c>
      <c r="G148" s="189" t="s">
        <v>476</v>
      </c>
      <c r="H148" s="337">
        <v>-92060</v>
      </c>
    </row>
    <row r="149" spans="2:8" ht="12.75">
      <c r="B149" s="329">
        <v>115</v>
      </c>
      <c r="C149" s="323" t="s">
        <v>712</v>
      </c>
      <c r="D149" s="315">
        <v>403190</v>
      </c>
      <c r="E149" s="315">
        <v>0</v>
      </c>
      <c r="F149" s="195">
        <f t="shared" si="7"/>
        <v>403190</v>
      </c>
      <c r="G149" s="189" t="s">
        <v>476</v>
      </c>
      <c r="H149" s="337">
        <v>0</v>
      </c>
    </row>
    <row r="150" spans="2:8" ht="25.5">
      <c r="B150" s="329">
        <v>115</v>
      </c>
      <c r="C150" s="323" t="s">
        <v>713</v>
      </c>
      <c r="D150" s="315">
        <v>244000</v>
      </c>
      <c r="E150" s="315">
        <v>0</v>
      </c>
      <c r="F150" s="195">
        <f t="shared" si="7"/>
        <v>244000</v>
      </c>
      <c r="G150" s="189" t="s">
        <v>476</v>
      </c>
      <c r="H150" s="337">
        <v>0</v>
      </c>
    </row>
    <row r="151" spans="2:8" ht="12.75">
      <c r="B151" s="329">
        <v>115</v>
      </c>
      <c r="C151" s="323" t="s">
        <v>714</v>
      </c>
      <c r="D151" s="315">
        <v>317646</v>
      </c>
      <c r="E151" s="315">
        <v>2958</v>
      </c>
      <c r="F151" s="195">
        <f t="shared" si="7"/>
        <v>314688</v>
      </c>
      <c r="G151" s="189" t="s">
        <v>476</v>
      </c>
      <c r="H151" s="337">
        <v>292196</v>
      </c>
    </row>
    <row r="152" spans="2:8" ht="12.75">
      <c r="B152" s="329">
        <v>115</v>
      </c>
      <c r="C152" s="323" t="s">
        <v>715</v>
      </c>
      <c r="D152" s="315">
        <v>630639</v>
      </c>
      <c r="E152" s="315">
        <v>62153</v>
      </c>
      <c r="F152" s="195">
        <f t="shared" si="7"/>
        <v>568486</v>
      </c>
      <c r="G152" s="189" t="s">
        <v>476</v>
      </c>
      <c r="H152" s="337">
        <v>402822</v>
      </c>
    </row>
    <row r="153" spans="2:8" ht="25.5">
      <c r="B153" s="329">
        <v>115</v>
      </c>
      <c r="C153" s="324" t="s">
        <v>716</v>
      </c>
      <c r="D153" s="315"/>
      <c r="E153" s="315"/>
      <c r="F153" s="195">
        <v>-550000</v>
      </c>
      <c r="G153" s="189" t="s">
        <v>476</v>
      </c>
      <c r="H153" s="337">
        <v>0</v>
      </c>
    </row>
    <row r="154" spans="2:8" ht="12.75">
      <c r="B154" s="329">
        <v>115</v>
      </c>
      <c r="C154" s="323" t="s">
        <v>717</v>
      </c>
      <c r="D154" s="315"/>
      <c r="E154" s="315"/>
      <c r="F154" s="195"/>
      <c r="G154" s="189"/>
      <c r="H154" s="337">
        <v>1017664</v>
      </c>
    </row>
    <row r="155" spans="2:8" ht="12.75">
      <c r="B155" s="192">
        <v>115</v>
      </c>
      <c r="C155" s="325" t="s">
        <v>718</v>
      </c>
      <c r="D155" s="316"/>
      <c r="E155" s="316"/>
      <c r="F155" s="317">
        <f>SUM(F145:F154)</f>
        <v>1358451</v>
      </c>
      <c r="G155" s="318"/>
      <c r="H155" s="338">
        <f>SUM(H145:H154)</f>
        <v>1757888</v>
      </c>
    </row>
    <row r="156" spans="2:8" ht="12.75">
      <c r="B156" s="329"/>
      <c r="C156" s="323"/>
      <c r="D156" s="315"/>
      <c r="E156" s="315"/>
      <c r="F156" s="195"/>
      <c r="G156" s="189"/>
      <c r="H156" s="337"/>
    </row>
    <row r="157" spans="2:8" ht="12.75">
      <c r="B157" s="192">
        <v>401</v>
      </c>
      <c r="C157" s="193" t="s">
        <v>213</v>
      </c>
      <c r="D157" s="316">
        <v>28725</v>
      </c>
      <c r="E157" s="316">
        <v>26800</v>
      </c>
      <c r="F157" s="317">
        <f t="shared" si="1"/>
        <v>1925</v>
      </c>
      <c r="G157" s="318" t="s">
        <v>477</v>
      </c>
      <c r="H157" s="338">
        <v>0</v>
      </c>
    </row>
    <row r="158" spans="2:8" ht="12.75">
      <c r="B158" s="329"/>
      <c r="C158" s="190"/>
      <c r="D158" s="315"/>
      <c r="E158" s="315"/>
      <c r="F158" s="195"/>
      <c r="G158" s="189"/>
      <c r="H158" s="337"/>
    </row>
    <row r="159" spans="2:8" ht="12.75">
      <c r="B159" s="329">
        <v>402</v>
      </c>
      <c r="C159" s="323" t="s">
        <v>719</v>
      </c>
      <c r="D159" s="315">
        <v>27000</v>
      </c>
      <c r="E159" s="315">
        <v>20595</v>
      </c>
      <c r="F159" s="195">
        <f t="shared" si="1"/>
        <v>6405</v>
      </c>
      <c r="G159" s="189" t="s">
        <v>478</v>
      </c>
      <c r="H159" s="337">
        <v>0</v>
      </c>
    </row>
    <row r="160" spans="2:8" ht="12.75">
      <c r="B160" s="329">
        <v>402</v>
      </c>
      <c r="C160" s="323" t="s">
        <v>720</v>
      </c>
      <c r="D160" s="315">
        <f>152508+95000+6146+35719+26143+150000</f>
        <v>465516</v>
      </c>
      <c r="E160" s="315">
        <f>30710+10882+1411+0+21215+0</f>
        <v>64218</v>
      </c>
      <c r="F160" s="195">
        <f t="shared" si="1"/>
        <v>401298</v>
      </c>
      <c r="G160" s="189" t="s">
        <v>478</v>
      </c>
      <c r="H160" s="337">
        <f>271131-H161</f>
        <v>164626</v>
      </c>
    </row>
    <row r="161" spans="2:8" ht="25.5">
      <c r="B161" s="329">
        <v>402</v>
      </c>
      <c r="C161" s="323" t="s">
        <v>721</v>
      </c>
      <c r="D161" s="315">
        <v>1106563</v>
      </c>
      <c r="E161" s="315">
        <v>931472</v>
      </c>
      <c r="F161" s="195">
        <f t="shared" si="1"/>
        <v>175091</v>
      </c>
      <c r="G161" s="189" t="s">
        <v>478</v>
      </c>
      <c r="H161" s="337">
        <v>106505</v>
      </c>
    </row>
    <row r="162" spans="2:8" ht="12.75">
      <c r="B162" s="192">
        <v>402</v>
      </c>
      <c r="C162" s="325" t="s">
        <v>722</v>
      </c>
      <c r="D162" s="316"/>
      <c r="E162" s="316"/>
      <c r="F162" s="317">
        <f>SUM(F159:F161)</f>
        <v>582794</v>
      </c>
      <c r="G162" s="318"/>
      <c r="H162" s="338">
        <f>SUM(H159:H161)</f>
        <v>271131</v>
      </c>
    </row>
    <row r="163" spans="2:8" ht="12.75">
      <c r="B163" s="329"/>
      <c r="C163" s="323"/>
      <c r="D163" s="315"/>
      <c r="E163" s="315"/>
      <c r="F163" s="195"/>
      <c r="G163" s="189"/>
      <c r="H163" s="337"/>
    </row>
    <row r="164" spans="2:8" ht="12.75">
      <c r="B164" s="192">
        <v>403</v>
      </c>
      <c r="C164" s="193" t="s">
        <v>479</v>
      </c>
      <c r="D164" s="316">
        <v>211610</v>
      </c>
      <c r="E164" s="316">
        <f>159971+3322</f>
        <v>163293</v>
      </c>
      <c r="F164" s="317">
        <f t="shared" si="1"/>
        <v>48317</v>
      </c>
      <c r="G164" s="321" t="s">
        <v>480</v>
      </c>
      <c r="H164" s="338">
        <v>682409</v>
      </c>
    </row>
    <row r="165" spans="2:8" ht="12.75">
      <c r="B165" s="192">
        <v>404</v>
      </c>
      <c r="C165" s="193" t="s">
        <v>481</v>
      </c>
      <c r="D165" s="316">
        <v>24048</v>
      </c>
      <c r="E165" s="316">
        <f>2683-10000</f>
        <v>-7317</v>
      </c>
      <c r="F165" s="317">
        <f t="shared" si="1"/>
        <v>31365</v>
      </c>
      <c r="G165" s="318" t="s">
        <v>482</v>
      </c>
      <c r="H165" s="338">
        <v>24048</v>
      </c>
    </row>
    <row r="166" spans="2:8" ht="12.75">
      <c r="B166" s="192">
        <v>406</v>
      </c>
      <c r="C166" s="193" t="s">
        <v>483</v>
      </c>
      <c r="D166" s="316">
        <v>0</v>
      </c>
      <c r="E166" s="316">
        <v>-281</v>
      </c>
      <c r="F166" s="317">
        <f t="shared" si="1"/>
        <v>281</v>
      </c>
      <c r="G166" s="318" t="s">
        <v>484</v>
      </c>
      <c r="H166" s="338">
        <v>0</v>
      </c>
    </row>
    <row r="167" spans="2:8" ht="12.75">
      <c r="B167" s="192">
        <v>409</v>
      </c>
      <c r="C167" s="193" t="s">
        <v>485</v>
      </c>
      <c r="D167" s="316">
        <f>29463+38414</f>
        <v>67877</v>
      </c>
      <c r="E167" s="316">
        <f>13860-3211</f>
        <v>10649</v>
      </c>
      <c r="F167" s="317">
        <f t="shared" si="1"/>
        <v>57228</v>
      </c>
      <c r="G167" s="318" t="s">
        <v>486</v>
      </c>
      <c r="H167" s="338">
        <v>38414</v>
      </c>
    </row>
    <row r="168" spans="2:8" ht="12.75">
      <c r="B168" s="192">
        <v>412</v>
      </c>
      <c r="C168" s="193" t="s">
        <v>120</v>
      </c>
      <c r="D168" s="316">
        <v>69320</v>
      </c>
      <c r="E168" s="316">
        <f>33002-24123</f>
        <v>8879</v>
      </c>
      <c r="F168" s="317">
        <f aca="true" t="shared" si="8" ref="F168">SUM(D168-E168)</f>
        <v>60441</v>
      </c>
      <c r="G168" s="318" t="s">
        <v>487</v>
      </c>
      <c r="H168" s="338">
        <v>30520</v>
      </c>
    </row>
    <row r="169" spans="2:8" ht="25.5">
      <c r="B169" s="192">
        <v>415</v>
      </c>
      <c r="C169" s="193" t="s">
        <v>723</v>
      </c>
      <c r="D169" s="316">
        <v>60014</v>
      </c>
      <c r="E169" s="316">
        <v>4131</v>
      </c>
      <c r="F169" s="317">
        <f t="shared" si="1"/>
        <v>55883</v>
      </c>
      <c r="G169" s="318" t="s">
        <v>488</v>
      </c>
      <c r="H169" s="338">
        <v>69012</v>
      </c>
    </row>
    <row r="170" spans="2:8" ht="25.5">
      <c r="B170" s="192">
        <v>417</v>
      </c>
      <c r="C170" s="193" t="s">
        <v>728</v>
      </c>
      <c r="D170" s="316">
        <v>493966</v>
      </c>
      <c r="E170" s="316">
        <v>43300</v>
      </c>
      <c r="F170" s="317">
        <f t="shared" si="1"/>
        <v>450666</v>
      </c>
      <c r="G170" s="318" t="s">
        <v>490</v>
      </c>
      <c r="H170" s="338">
        <v>69066</v>
      </c>
    </row>
    <row r="171" spans="2:8" ht="12.75">
      <c r="B171" s="329"/>
      <c r="C171" s="190"/>
      <c r="D171" s="315"/>
      <c r="E171" s="315"/>
      <c r="F171" s="195"/>
      <c r="G171" s="189"/>
      <c r="H171" s="337"/>
    </row>
    <row r="172" spans="2:8" ht="12.75">
      <c r="B172" s="329">
        <v>418</v>
      </c>
      <c r="C172" s="190" t="s">
        <v>499</v>
      </c>
      <c r="D172" s="315">
        <v>146051</v>
      </c>
      <c r="E172" s="315">
        <v>226056</v>
      </c>
      <c r="F172" s="195">
        <f>SUM(D172-E172)</f>
        <v>-80005</v>
      </c>
      <c r="G172" s="189" t="s">
        <v>491</v>
      </c>
      <c r="H172" s="337">
        <v>146051</v>
      </c>
    </row>
    <row r="173" spans="2:8" ht="25.5">
      <c r="B173" s="329">
        <v>418</v>
      </c>
      <c r="C173" s="324" t="s">
        <v>724</v>
      </c>
      <c r="D173" s="315"/>
      <c r="E173" s="315"/>
      <c r="F173" s="195">
        <v>80005</v>
      </c>
      <c r="G173" s="326">
        <v>2010718</v>
      </c>
      <c r="H173" s="337">
        <v>0</v>
      </c>
    </row>
    <row r="174" spans="2:8" ht="12.75">
      <c r="B174" s="192">
        <v>418</v>
      </c>
      <c r="C174" s="325" t="s">
        <v>725</v>
      </c>
      <c r="D174" s="316"/>
      <c r="E174" s="316"/>
      <c r="F174" s="317">
        <f>SUM(F172:F173)</f>
        <v>0</v>
      </c>
      <c r="G174" s="327"/>
      <c r="H174" s="338">
        <f>SUM(H172:H173)</f>
        <v>146051</v>
      </c>
    </row>
    <row r="175" spans="2:8" ht="12.75">
      <c r="B175" s="329"/>
      <c r="C175" s="323"/>
      <c r="D175" s="315"/>
      <c r="E175" s="315"/>
      <c r="F175" s="195"/>
      <c r="G175" s="326"/>
      <c r="H175" s="337"/>
    </row>
    <row r="176" spans="2:8" ht="25.5">
      <c r="B176" s="192">
        <v>420</v>
      </c>
      <c r="C176" s="193" t="s">
        <v>726</v>
      </c>
      <c r="D176" s="316">
        <f>54868+290000</f>
        <v>344868</v>
      </c>
      <c r="E176" s="316">
        <f>125140-75966</f>
        <v>49174</v>
      </c>
      <c r="F176" s="317">
        <f t="shared" si="1"/>
        <v>295694</v>
      </c>
      <c r="G176" s="318" t="s">
        <v>492</v>
      </c>
      <c r="H176" s="338">
        <v>54868</v>
      </c>
    </row>
    <row r="177" spans="2:8" ht="12.75">
      <c r="B177" s="192">
        <v>482</v>
      </c>
      <c r="C177" s="193" t="s">
        <v>199</v>
      </c>
      <c r="D177" s="316">
        <v>5603</v>
      </c>
      <c r="E177" s="316">
        <v>8822</v>
      </c>
      <c r="F177" s="317">
        <f t="shared" si="1"/>
        <v>-3219</v>
      </c>
      <c r="G177" s="318" t="s">
        <v>493</v>
      </c>
      <c r="H177" s="338">
        <v>5603</v>
      </c>
    </row>
    <row r="178" spans="2:8" ht="12.75">
      <c r="B178" s="329"/>
      <c r="C178" s="190"/>
      <c r="D178" s="315"/>
      <c r="E178" s="315"/>
      <c r="F178" s="195"/>
      <c r="G178" s="189"/>
      <c r="H178" s="337"/>
    </row>
    <row r="179" spans="2:8" ht="12.75">
      <c r="B179" s="192" t="s">
        <v>500</v>
      </c>
      <c r="C179" s="194" t="s">
        <v>729</v>
      </c>
      <c r="D179" s="316"/>
      <c r="E179" s="316"/>
      <c r="F179" s="328">
        <v>2217120</v>
      </c>
      <c r="G179" s="340" t="s">
        <v>500</v>
      </c>
      <c r="H179" s="338">
        <v>0</v>
      </c>
    </row>
    <row r="180" spans="2:8" s="131" customFormat="1" ht="12.75">
      <c r="B180" s="192"/>
      <c r="C180" s="194"/>
      <c r="D180" s="316"/>
      <c r="E180" s="316"/>
      <c r="F180" s="328"/>
      <c r="G180" s="340"/>
      <c r="H180" s="338"/>
    </row>
    <row r="181" spans="2:8" ht="12.75">
      <c r="B181" s="192" t="s">
        <v>405</v>
      </c>
      <c r="C181" s="194"/>
      <c r="D181" s="316">
        <f>SUM(D8:D179)</f>
        <v>423508652</v>
      </c>
      <c r="E181" s="316">
        <f>SUM(E8:E179)</f>
        <v>409715495</v>
      </c>
      <c r="F181" s="328">
        <f>SUM(F14+F18+F23+F28+F41+F52+F61+F72+F84+F95+F97+F98+F99+F113+F115+F119+F123+F125+F126+F129+F130+F131+F143+F155+F157+F162+F164+F165+F166+F167+F168+F169+F170+F174+F176+F177+F179)</f>
        <v>16310306</v>
      </c>
      <c r="G181" s="316"/>
      <c r="H181" s="338">
        <f aca="true" t="shared" si="9" ref="H181">SUM(H14+H18+H23+H28+H41+H52+H61+H72+H84+H95+H97+H98+H99+H113+H115+H119+H123+H125+H126+H129+H130+H131+H143+H155+H157+H162+H164+H165+H166+H167+H168+H169+H170+H174+H176+H177+H179)</f>
        <v>9173928</v>
      </c>
    </row>
    <row r="182" spans="2:8" ht="12.75">
      <c r="B182" s="329" t="s">
        <v>727</v>
      </c>
      <c r="C182" s="194"/>
      <c r="D182" s="315"/>
      <c r="E182" s="315"/>
      <c r="F182" s="330">
        <f>SUM(F17+F40+F51+F60+F71+F118+F142+F153+F173)*-1</f>
        <v>-300020</v>
      </c>
      <c r="G182" s="189"/>
      <c r="H182" s="337"/>
    </row>
    <row r="183" spans="3:8" ht="12.75">
      <c r="C183" s="131"/>
      <c r="E183" s="131"/>
      <c r="F183" s="131"/>
      <c r="G183" s="8"/>
      <c r="H183" s="8"/>
    </row>
    <row r="184" spans="2:8" ht="12.75">
      <c r="B184" s="305" t="s">
        <v>500</v>
      </c>
      <c r="C184" s="339" t="s">
        <v>739</v>
      </c>
      <c r="E184" s="131"/>
      <c r="F184" s="131"/>
      <c r="G184" s="8"/>
      <c r="H184" s="8"/>
    </row>
    <row r="185" spans="3:8" ht="12.75">
      <c r="C185" s="339" t="s">
        <v>740</v>
      </c>
      <c r="E185" s="131"/>
      <c r="F185" s="131"/>
      <c r="G185" s="8"/>
      <c r="H185" s="331"/>
    </row>
  </sheetData>
  <mergeCells count="1">
    <mergeCell ref="B1:G1"/>
  </mergeCells>
  <printOptions/>
  <pageMargins left="0.3937007874015748" right="0.3937007874015748" top="0.7480314960629921" bottom="0.3937007874015748" header="0" footer="0"/>
  <pageSetup fitToWidth="0"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5.00390625" style="0" customWidth="1"/>
    <col min="4" max="4" width="8.28125" style="0" customWidth="1"/>
    <col min="5" max="6" width="13.421875" style="0" customWidth="1"/>
    <col min="7" max="7" width="15.00390625" style="0" customWidth="1"/>
    <col min="8" max="8" width="12.421875" style="4" hidden="1" customWidth="1"/>
  </cols>
  <sheetData>
    <row r="1" ht="13.5" thickBot="1"/>
    <row r="2" spans="2:9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5"/>
      <c r="I2" s="15"/>
    </row>
    <row r="4" spans="2:3" ht="18">
      <c r="B4" s="13" t="s">
        <v>10</v>
      </c>
      <c r="C4" s="2"/>
    </row>
    <row r="5" ht="18">
      <c r="B5" s="13" t="s">
        <v>12</v>
      </c>
    </row>
    <row r="6" spans="2:9" s="1" customFormat="1" ht="68.1" customHeight="1">
      <c r="B6" s="21" t="s">
        <v>161</v>
      </c>
      <c r="C6" s="21"/>
      <c r="D6" s="22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  <c r="I6" s="20" t="s">
        <v>608</v>
      </c>
    </row>
    <row r="7" spans="2:9" ht="27.6" customHeight="1">
      <c r="B7" s="46"/>
      <c r="C7" s="46"/>
      <c r="D7" s="46"/>
      <c r="E7" s="36"/>
      <c r="F7" s="36"/>
      <c r="G7" s="64" t="s">
        <v>17</v>
      </c>
      <c r="H7" s="71"/>
      <c r="I7" s="46"/>
    </row>
    <row r="8" spans="2:9" ht="12.75">
      <c r="B8" s="46"/>
      <c r="C8" s="46" t="s">
        <v>305</v>
      </c>
      <c r="D8" s="46"/>
      <c r="E8" s="36"/>
      <c r="F8" s="36"/>
      <c r="G8" s="82"/>
      <c r="H8" s="71"/>
      <c r="I8" s="46"/>
    </row>
    <row r="9" spans="2:9" ht="12.75">
      <c r="B9" s="46"/>
      <c r="C9" s="46" t="s">
        <v>306</v>
      </c>
      <c r="D9" s="46" t="s">
        <v>307</v>
      </c>
      <c r="E9" s="36">
        <v>5396350</v>
      </c>
      <c r="F9" s="36">
        <v>5152089</v>
      </c>
      <c r="G9" s="139">
        <f>E9-F9</f>
        <v>244261</v>
      </c>
      <c r="H9" s="71"/>
      <c r="I9" s="36">
        <v>22301</v>
      </c>
    </row>
    <row r="10" spans="2:9" ht="12.75">
      <c r="B10" s="46"/>
      <c r="C10" s="46"/>
      <c r="D10" s="46"/>
      <c r="E10" s="36"/>
      <c r="F10" s="36"/>
      <c r="G10" s="139"/>
      <c r="H10" s="71"/>
      <c r="I10" s="46"/>
    </row>
    <row r="11" spans="2:9" s="1" customFormat="1" ht="12.75">
      <c r="B11" s="35" t="s">
        <v>8</v>
      </c>
      <c r="C11" s="35"/>
      <c r="D11" s="35"/>
      <c r="E11" s="61">
        <f>SUM(E8:E10)</f>
        <v>5396350</v>
      </c>
      <c r="F11" s="61">
        <f>SUM(F8:F10)</f>
        <v>5152089</v>
      </c>
      <c r="G11" s="140">
        <f>SUM(G7:G10)</f>
        <v>244261</v>
      </c>
      <c r="H11" s="72"/>
      <c r="I11" s="61">
        <f>I9</f>
        <v>22301</v>
      </c>
    </row>
    <row r="12" spans="2:9" ht="12.75">
      <c r="B12" s="46"/>
      <c r="C12" s="46"/>
      <c r="D12" s="46"/>
      <c r="E12" s="36"/>
      <c r="F12" s="36"/>
      <c r="G12" s="139"/>
      <c r="H12" s="71"/>
      <c r="I12" s="46"/>
    </row>
    <row r="13" spans="2:9" s="1" customFormat="1" ht="12.75">
      <c r="B13" s="35" t="s">
        <v>405</v>
      </c>
      <c r="C13" s="35"/>
      <c r="D13" s="35"/>
      <c r="E13" s="61">
        <f>E11</f>
        <v>5396350</v>
      </c>
      <c r="F13" s="61">
        <f>F11</f>
        <v>5152089</v>
      </c>
      <c r="G13" s="148">
        <f>G11</f>
        <v>244261</v>
      </c>
      <c r="H13" s="72"/>
      <c r="I13" s="61">
        <f>I11</f>
        <v>22301</v>
      </c>
    </row>
    <row r="14" spans="5:8" ht="12.75">
      <c r="E14" s="3"/>
      <c r="F14" s="3"/>
      <c r="G14" s="3"/>
      <c r="H14" s="7"/>
    </row>
    <row r="15" ht="12.75">
      <c r="B15" s="11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 topLeftCell="A1">
      <selection activeCell="C19" sqref="C19"/>
    </sheetView>
  </sheetViews>
  <sheetFormatPr defaultColWidth="9.140625" defaultRowHeight="12.75"/>
  <cols>
    <col min="1" max="1" width="1.421875" style="0" customWidth="1"/>
    <col min="2" max="2" width="2.57421875" style="0" customWidth="1"/>
    <col min="3" max="3" width="38.28125" style="0" customWidth="1"/>
    <col min="4" max="4" width="8.57421875" style="8" customWidth="1"/>
    <col min="5" max="6" width="10.57421875" style="0" customWidth="1"/>
    <col min="7" max="7" width="13.28125" style="0" customWidth="1"/>
    <col min="8" max="8" width="15.7109375" style="4" customWidth="1"/>
    <col min="9" max="9" width="12.57421875" style="0" hidden="1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6"/>
    </row>
    <row r="4" spans="2:3" ht="18">
      <c r="B4" s="13" t="s">
        <v>292</v>
      </c>
      <c r="C4" s="13"/>
    </row>
    <row r="5" spans="2:3" ht="18">
      <c r="B5" s="41" t="s">
        <v>13</v>
      </c>
      <c r="C5" s="1"/>
    </row>
    <row r="6" spans="2:8" s="1" customFormat="1" ht="52.35" customHeight="1">
      <c r="B6" s="21" t="s">
        <v>19</v>
      </c>
      <c r="C6" s="21"/>
      <c r="D6" s="24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8.5" customHeight="1">
      <c r="B7" s="46"/>
      <c r="C7" s="46"/>
      <c r="D7" s="83"/>
      <c r="E7" s="46"/>
      <c r="F7" s="46"/>
      <c r="G7" s="64" t="s">
        <v>17</v>
      </c>
      <c r="H7" s="167"/>
    </row>
    <row r="8" spans="2:8" ht="12.75">
      <c r="B8" s="35"/>
      <c r="C8" s="46"/>
      <c r="D8" s="83"/>
      <c r="E8" s="46"/>
      <c r="F8" s="46"/>
      <c r="G8" s="46"/>
      <c r="H8" s="167"/>
    </row>
    <row r="9" spans="2:9" ht="25.15" customHeight="1">
      <c r="B9" s="46"/>
      <c r="C9" s="46" t="s">
        <v>427</v>
      </c>
      <c r="D9" s="166" t="s">
        <v>428</v>
      </c>
      <c r="E9" s="46">
        <v>0</v>
      </c>
      <c r="F9" s="36">
        <v>-72000</v>
      </c>
      <c r="G9" s="139">
        <v>72000</v>
      </c>
      <c r="H9" s="289" t="s">
        <v>429</v>
      </c>
      <c r="I9" s="131" t="s">
        <v>450</v>
      </c>
    </row>
    <row r="10" spans="2:9" s="40" customFormat="1" ht="25.15" customHeight="1">
      <c r="B10" s="46"/>
      <c r="C10" s="115" t="s">
        <v>319</v>
      </c>
      <c r="D10" s="84" t="s">
        <v>318</v>
      </c>
      <c r="E10" s="163">
        <v>6231200</v>
      </c>
      <c r="F10" s="163">
        <v>4862189</v>
      </c>
      <c r="G10" s="164">
        <f aca="true" t="shared" si="0" ref="G10:G17">E10-F10</f>
        <v>1369011</v>
      </c>
      <c r="H10" s="289" t="s">
        <v>429</v>
      </c>
      <c r="I10" s="131" t="s">
        <v>442</v>
      </c>
    </row>
    <row r="11" spans="2:9" ht="25.15" customHeight="1">
      <c r="B11" s="46"/>
      <c r="C11" s="85" t="s">
        <v>195</v>
      </c>
      <c r="D11" s="84" t="s">
        <v>144</v>
      </c>
      <c r="E11" s="161">
        <v>5674814</v>
      </c>
      <c r="F11" s="162">
        <v>0</v>
      </c>
      <c r="G11" s="165">
        <f t="shared" si="0"/>
        <v>5674814</v>
      </c>
      <c r="H11" s="289" t="s">
        <v>429</v>
      </c>
      <c r="I11" s="131" t="s">
        <v>443</v>
      </c>
    </row>
    <row r="12" spans="2:9" s="131" customFormat="1" ht="25.15" customHeight="1">
      <c r="B12" s="46"/>
      <c r="C12" s="160" t="s">
        <v>421</v>
      </c>
      <c r="D12" s="84" t="s">
        <v>420</v>
      </c>
      <c r="E12" s="163">
        <v>0</v>
      </c>
      <c r="F12" s="163">
        <v>268655</v>
      </c>
      <c r="G12" s="164">
        <f t="shared" si="0"/>
        <v>-268655</v>
      </c>
      <c r="H12" s="289" t="s">
        <v>429</v>
      </c>
      <c r="I12" s="131" t="s">
        <v>444</v>
      </c>
    </row>
    <row r="13" spans="2:9" s="131" customFormat="1" ht="25.15" customHeight="1">
      <c r="B13" s="46"/>
      <c r="C13" s="160" t="s">
        <v>422</v>
      </c>
      <c r="D13" s="84" t="s">
        <v>423</v>
      </c>
      <c r="E13" s="161">
        <v>569448</v>
      </c>
      <c r="F13" s="162">
        <v>1232780</v>
      </c>
      <c r="G13" s="165">
        <f t="shared" si="0"/>
        <v>-663332</v>
      </c>
      <c r="H13" s="289" t="s">
        <v>429</v>
      </c>
      <c r="I13" s="131" t="s">
        <v>445</v>
      </c>
    </row>
    <row r="14" spans="2:9" s="131" customFormat="1" ht="25.15" customHeight="1">
      <c r="B14" s="46"/>
      <c r="C14" s="160" t="s">
        <v>424</v>
      </c>
      <c r="D14" s="84" t="s">
        <v>426</v>
      </c>
      <c r="E14" s="163">
        <v>314560</v>
      </c>
      <c r="F14" s="163">
        <v>91673</v>
      </c>
      <c r="G14" s="164">
        <f t="shared" si="0"/>
        <v>222887</v>
      </c>
      <c r="H14" s="289" t="s">
        <v>429</v>
      </c>
      <c r="I14" s="131" t="s">
        <v>446</v>
      </c>
    </row>
    <row r="15" spans="2:9" s="131" customFormat="1" ht="25.15" customHeight="1">
      <c r="B15" s="46"/>
      <c r="C15" s="160" t="s">
        <v>425</v>
      </c>
      <c r="D15" s="84">
        <v>360812</v>
      </c>
      <c r="E15" s="163">
        <v>1018000</v>
      </c>
      <c r="F15" s="163">
        <v>0</v>
      </c>
      <c r="G15" s="164">
        <f t="shared" si="0"/>
        <v>1018000</v>
      </c>
      <c r="H15" s="289" t="s">
        <v>429</v>
      </c>
      <c r="I15" s="131" t="s">
        <v>447</v>
      </c>
    </row>
    <row r="16" spans="2:9" ht="25.15" customHeight="1">
      <c r="B16" s="46"/>
      <c r="C16" s="86" t="s">
        <v>265</v>
      </c>
      <c r="D16" s="87">
        <v>651801</v>
      </c>
      <c r="E16" s="163">
        <v>-2656962</v>
      </c>
      <c r="F16" s="163">
        <v>0</v>
      </c>
      <c r="G16" s="164">
        <f t="shared" si="0"/>
        <v>-2656962</v>
      </c>
      <c r="H16" s="289" t="s">
        <v>429</v>
      </c>
      <c r="I16" s="131" t="s">
        <v>448</v>
      </c>
    </row>
    <row r="17" spans="2:9" s="32" customFormat="1" ht="25.15" customHeight="1">
      <c r="B17" s="46"/>
      <c r="C17" s="88" t="s">
        <v>145</v>
      </c>
      <c r="D17" s="89">
        <v>651807</v>
      </c>
      <c r="E17" s="161">
        <v>41829</v>
      </c>
      <c r="F17" s="162">
        <v>-216890.3</v>
      </c>
      <c r="G17" s="165">
        <f t="shared" si="0"/>
        <v>258719.3</v>
      </c>
      <c r="H17" s="289" t="s">
        <v>429</v>
      </c>
      <c r="I17" s="131" t="s">
        <v>449</v>
      </c>
    </row>
    <row r="18" spans="2:8" ht="25.15" customHeight="1">
      <c r="B18" s="35" t="s">
        <v>8</v>
      </c>
      <c r="C18" s="46"/>
      <c r="D18" s="83"/>
      <c r="E18" s="36">
        <f>SUM(E10:E17)</f>
        <v>11192889</v>
      </c>
      <c r="F18" s="36">
        <f>SUM(F10:F17)</f>
        <v>6238406.7</v>
      </c>
      <c r="G18" s="113">
        <f>SUM(G9:G17)</f>
        <v>5026482.3</v>
      </c>
      <c r="H18" s="167"/>
    </row>
  </sheetData>
  <printOptions/>
  <pageMargins left="0" right="0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 topLeftCell="C49">
      <selection activeCell="C3" sqref="C3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3.57421875" style="0" customWidth="1"/>
    <col min="4" max="4" width="10.421875" style="8" bestFit="1" customWidth="1"/>
    <col min="5" max="6" width="11.421875" style="0" customWidth="1"/>
    <col min="7" max="7" width="15.421875" style="0" customWidth="1"/>
    <col min="8" max="8" width="23.57421875" style="4" bestFit="1" customWidth="1"/>
  </cols>
  <sheetData>
    <row r="1" ht="13.5" thickBot="1"/>
    <row r="2" spans="2:8" ht="26.25" thickBot="1">
      <c r="B2" s="14" t="str">
        <f>Total!B1</f>
        <v>Budgetoverførsler fra 2017 til 2018</v>
      </c>
      <c r="C2" s="15"/>
      <c r="D2" s="15"/>
      <c r="E2" s="15"/>
      <c r="F2" s="15"/>
      <c r="G2" s="15"/>
      <c r="H2" s="16"/>
    </row>
    <row r="4" spans="2:3" ht="18">
      <c r="B4" s="13" t="s">
        <v>21</v>
      </c>
      <c r="C4" s="2"/>
    </row>
    <row r="5" ht="18">
      <c r="B5" s="13" t="s">
        <v>13</v>
      </c>
    </row>
    <row r="6" spans="2:8" s="1" customFormat="1" ht="39" customHeight="1">
      <c r="B6" s="21" t="s">
        <v>19</v>
      </c>
      <c r="C6" s="21"/>
      <c r="D6" s="24" t="s">
        <v>20</v>
      </c>
      <c r="E6" s="23" t="s">
        <v>403</v>
      </c>
      <c r="F6" s="23" t="s">
        <v>400</v>
      </c>
      <c r="G6" s="20" t="s">
        <v>404</v>
      </c>
      <c r="H6" s="23" t="s">
        <v>14</v>
      </c>
    </row>
    <row r="7" spans="2:8" ht="24" customHeight="1">
      <c r="B7" s="46"/>
      <c r="C7" s="46"/>
      <c r="D7" s="83"/>
      <c r="E7" s="46"/>
      <c r="F7" s="46"/>
      <c r="G7" s="64" t="s">
        <v>17</v>
      </c>
      <c r="H7" s="45"/>
    </row>
    <row r="8" spans="2:8" ht="27.6" customHeight="1">
      <c r="B8" s="46"/>
      <c r="C8" s="174" t="s">
        <v>320</v>
      </c>
      <c r="D8" s="179" t="s">
        <v>459</v>
      </c>
      <c r="E8" s="182">
        <v>257300</v>
      </c>
      <c r="F8" s="182">
        <v>0</v>
      </c>
      <c r="G8" s="149">
        <f>SUM(E8-F8)</f>
        <v>257300</v>
      </c>
      <c r="H8" s="45" t="s">
        <v>429</v>
      </c>
    </row>
    <row r="9" spans="2:8" s="10" customFormat="1" ht="27.6" customHeight="1">
      <c r="B9" s="91"/>
      <c r="C9" s="153" t="s">
        <v>451</v>
      </c>
      <c r="D9" s="179" t="s">
        <v>460</v>
      </c>
      <c r="E9" s="182">
        <v>357000</v>
      </c>
      <c r="F9" s="182">
        <v>0</v>
      </c>
      <c r="G9" s="149">
        <f>SUM(E9-F9)</f>
        <v>357000</v>
      </c>
      <c r="H9" s="45" t="s">
        <v>429</v>
      </c>
    </row>
    <row r="10" spans="2:8" s="10" customFormat="1" ht="27.6" customHeight="1">
      <c r="B10" s="91"/>
      <c r="C10" s="175" t="s">
        <v>223</v>
      </c>
      <c r="D10" s="180" t="s">
        <v>236</v>
      </c>
      <c r="E10" s="182">
        <v>965260</v>
      </c>
      <c r="F10" s="182">
        <v>11051.12</v>
      </c>
      <c r="G10" s="149">
        <f aca="true" t="shared" si="0" ref="G10:G48">SUM(E10-F10)</f>
        <v>954208.88</v>
      </c>
      <c r="H10" s="45" t="s">
        <v>429</v>
      </c>
    </row>
    <row r="11" spans="2:8" s="10" customFormat="1" ht="27.6" customHeight="1">
      <c r="B11" s="91"/>
      <c r="C11" s="175" t="s">
        <v>321</v>
      </c>
      <c r="D11" s="180" t="s">
        <v>322</v>
      </c>
      <c r="E11" s="182">
        <v>1744145</v>
      </c>
      <c r="F11" s="182">
        <v>1110081</v>
      </c>
      <c r="G11" s="149">
        <f t="shared" si="0"/>
        <v>634064</v>
      </c>
      <c r="H11" s="45" t="s">
        <v>429</v>
      </c>
    </row>
    <row r="12" spans="2:8" s="10" customFormat="1" ht="27.6" customHeight="1">
      <c r="B12" s="91"/>
      <c r="C12" s="175" t="s">
        <v>452</v>
      </c>
      <c r="D12" s="180" t="s">
        <v>461</v>
      </c>
      <c r="E12" s="182">
        <v>1990190</v>
      </c>
      <c r="F12" s="182">
        <v>1071053.46</v>
      </c>
      <c r="G12" s="149">
        <f t="shared" si="0"/>
        <v>919136.54</v>
      </c>
      <c r="H12" s="45" t="s">
        <v>429</v>
      </c>
    </row>
    <row r="13" spans="2:8" s="10" customFormat="1" ht="27.6" customHeight="1">
      <c r="B13" s="91"/>
      <c r="C13" s="175" t="s">
        <v>203</v>
      </c>
      <c r="D13" s="180" t="s">
        <v>237</v>
      </c>
      <c r="E13" s="182">
        <v>23714</v>
      </c>
      <c r="F13" s="182">
        <v>0</v>
      </c>
      <c r="G13" s="149">
        <f t="shared" si="0"/>
        <v>23714</v>
      </c>
      <c r="H13" s="45" t="s">
        <v>429</v>
      </c>
    </row>
    <row r="14" spans="2:8" s="10" customFormat="1" ht="27.6" customHeight="1">
      <c r="B14" s="91"/>
      <c r="C14" s="175" t="s">
        <v>324</v>
      </c>
      <c r="D14" s="180" t="s">
        <v>323</v>
      </c>
      <c r="E14" s="182">
        <v>4932767</v>
      </c>
      <c r="F14" s="182">
        <v>1422678</v>
      </c>
      <c r="G14" s="149">
        <f t="shared" si="0"/>
        <v>3510089</v>
      </c>
      <c r="H14" s="45" t="s">
        <v>429</v>
      </c>
    </row>
    <row r="15" spans="2:8" s="10" customFormat="1" ht="27.6" customHeight="1">
      <c r="B15" s="91"/>
      <c r="C15" s="175" t="s">
        <v>204</v>
      </c>
      <c r="D15" s="180" t="s">
        <v>238</v>
      </c>
      <c r="E15" s="182">
        <v>560382</v>
      </c>
      <c r="F15" s="182">
        <v>283789.31</v>
      </c>
      <c r="G15" s="149">
        <f t="shared" si="0"/>
        <v>276592.69</v>
      </c>
      <c r="H15" s="45" t="s">
        <v>429</v>
      </c>
    </row>
    <row r="16" spans="2:8" s="10" customFormat="1" ht="27.6" customHeight="1">
      <c r="B16" s="91"/>
      <c r="C16" s="175" t="s">
        <v>205</v>
      </c>
      <c r="D16" s="180" t="s">
        <v>239</v>
      </c>
      <c r="E16" s="182">
        <v>502674</v>
      </c>
      <c r="F16" s="182">
        <v>0</v>
      </c>
      <c r="G16" s="149">
        <f t="shared" si="0"/>
        <v>502674</v>
      </c>
      <c r="H16" s="45" t="s">
        <v>429</v>
      </c>
    </row>
    <row r="17" spans="2:8" s="10" customFormat="1" ht="27.6" customHeight="1">
      <c r="B17" s="91"/>
      <c r="C17" s="176" t="s">
        <v>453</v>
      </c>
      <c r="D17" s="180" t="s">
        <v>462</v>
      </c>
      <c r="E17" s="182">
        <v>1961580</v>
      </c>
      <c r="F17" s="182">
        <v>533681.3</v>
      </c>
      <c r="G17" s="149">
        <f t="shared" si="0"/>
        <v>1427898.7</v>
      </c>
      <c r="H17" s="45" t="s">
        <v>429</v>
      </c>
    </row>
    <row r="18" spans="2:8" s="10" customFormat="1" ht="27.6" customHeight="1">
      <c r="B18" s="91"/>
      <c r="C18" s="175" t="s">
        <v>325</v>
      </c>
      <c r="D18" s="180" t="s">
        <v>326</v>
      </c>
      <c r="E18" s="182">
        <v>3488194</v>
      </c>
      <c r="F18" s="182">
        <v>0</v>
      </c>
      <c r="G18" s="149">
        <f t="shared" si="0"/>
        <v>3488194</v>
      </c>
      <c r="H18" s="45" t="s">
        <v>429</v>
      </c>
    </row>
    <row r="19" spans="2:8" s="10" customFormat="1" ht="27.6" customHeight="1">
      <c r="B19" s="92"/>
      <c r="C19" s="175" t="s">
        <v>224</v>
      </c>
      <c r="D19" s="180" t="s">
        <v>240</v>
      </c>
      <c r="E19" s="182">
        <v>4239688</v>
      </c>
      <c r="F19" s="182">
        <v>479110</v>
      </c>
      <c r="G19" s="149">
        <f t="shared" si="0"/>
        <v>3760578</v>
      </c>
      <c r="H19" s="45" t="s">
        <v>429</v>
      </c>
    </row>
    <row r="20" spans="2:8" s="10" customFormat="1" ht="27.6" customHeight="1">
      <c r="B20" s="92"/>
      <c r="C20" s="175" t="s">
        <v>225</v>
      </c>
      <c r="D20" s="180" t="s">
        <v>241</v>
      </c>
      <c r="E20" s="182">
        <v>44882</v>
      </c>
      <c r="F20" s="182">
        <v>44882</v>
      </c>
      <c r="G20" s="149">
        <f t="shared" si="0"/>
        <v>0</v>
      </c>
      <c r="H20" s="45" t="s">
        <v>429</v>
      </c>
    </row>
    <row r="21" spans="2:8" s="10" customFormat="1" ht="27.6" customHeight="1">
      <c r="B21" s="92"/>
      <c r="C21" s="175" t="s">
        <v>206</v>
      </c>
      <c r="D21" s="180" t="s">
        <v>242</v>
      </c>
      <c r="E21" s="182">
        <v>1579693</v>
      </c>
      <c r="F21" s="182">
        <v>329637.11</v>
      </c>
      <c r="G21" s="149">
        <f t="shared" si="0"/>
        <v>1250055.8900000001</v>
      </c>
      <c r="H21" s="45" t="s">
        <v>429</v>
      </c>
    </row>
    <row r="22" spans="2:8" s="10" customFormat="1" ht="27.6" customHeight="1">
      <c r="B22" s="92"/>
      <c r="C22" s="175" t="s">
        <v>327</v>
      </c>
      <c r="D22" s="180" t="s">
        <v>328</v>
      </c>
      <c r="E22" s="182">
        <v>3776707</v>
      </c>
      <c r="F22" s="182">
        <v>509033</v>
      </c>
      <c r="G22" s="149">
        <f aca="true" t="shared" si="1" ref="G22">SUM(E22-F22)</f>
        <v>3267674</v>
      </c>
      <c r="H22" s="45" t="s">
        <v>429</v>
      </c>
    </row>
    <row r="23" spans="2:8" s="10" customFormat="1" ht="27.6" customHeight="1">
      <c r="B23" s="92"/>
      <c r="C23" s="175" t="s">
        <v>226</v>
      </c>
      <c r="D23" s="180" t="s">
        <v>243</v>
      </c>
      <c r="E23" s="182">
        <v>4598956</v>
      </c>
      <c r="F23" s="182">
        <v>1686595</v>
      </c>
      <c r="G23" s="149">
        <f t="shared" si="0"/>
        <v>2912361</v>
      </c>
      <c r="H23" s="45" t="s">
        <v>429</v>
      </c>
    </row>
    <row r="24" spans="2:8" s="10" customFormat="1" ht="27.6" customHeight="1">
      <c r="B24" s="92"/>
      <c r="C24" s="175" t="s">
        <v>227</v>
      </c>
      <c r="D24" s="180" t="s">
        <v>244</v>
      </c>
      <c r="E24" s="182">
        <v>1414139</v>
      </c>
      <c r="F24" s="182">
        <v>1941899</v>
      </c>
      <c r="G24" s="149">
        <f t="shared" si="0"/>
        <v>-527760</v>
      </c>
      <c r="H24" s="45" t="s">
        <v>429</v>
      </c>
    </row>
    <row r="25" spans="2:8" s="10" customFormat="1" ht="27.6" customHeight="1">
      <c r="B25" s="92"/>
      <c r="C25" s="175" t="s">
        <v>329</v>
      </c>
      <c r="D25" s="180" t="s">
        <v>330</v>
      </c>
      <c r="E25" s="182">
        <v>1102100</v>
      </c>
      <c r="F25" s="182">
        <v>799040</v>
      </c>
      <c r="G25" s="149">
        <f t="shared" si="0"/>
        <v>303060</v>
      </c>
      <c r="H25" s="45" t="s">
        <v>429</v>
      </c>
    </row>
    <row r="26" spans="2:8" s="10" customFormat="1" ht="27.6" customHeight="1">
      <c r="B26" s="92"/>
      <c r="C26" s="175" t="s">
        <v>331</v>
      </c>
      <c r="D26" s="180" t="s">
        <v>463</v>
      </c>
      <c r="E26" s="182">
        <v>350179</v>
      </c>
      <c r="F26" s="182">
        <v>635302.12</v>
      </c>
      <c r="G26" s="149">
        <f t="shared" si="0"/>
        <v>-285123.12</v>
      </c>
      <c r="H26" s="45" t="s">
        <v>429</v>
      </c>
    </row>
    <row r="27" spans="2:8" s="10" customFormat="1" ht="27.6" customHeight="1">
      <c r="B27" s="92"/>
      <c r="C27" s="175" t="s">
        <v>332</v>
      </c>
      <c r="D27" s="180" t="s">
        <v>464</v>
      </c>
      <c r="E27" s="182">
        <v>551987</v>
      </c>
      <c r="F27" s="182">
        <v>279566.32</v>
      </c>
      <c r="G27" s="149">
        <f t="shared" si="0"/>
        <v>272420.68</v>
      </c>
      <c r="H27" s="45" t="s">
        <v>429</v>
      </c>
    </row>
    <row r="28" spans="2:8" s="10" customFormat="1" ht="27.6" customHeight="1">
      <c r="B28" s="92"/>
      <c r="C28" s="177" t="s">
        <v>454</v>
      </c>
      <c r="D28" s="180" t="s">
        <v>465</v>
      </c>
      <c r="E28" s="182">
        <v>172991</v>
      </c>
      <c r="F28" s="182">
        <v>0</v>
      </c>
      <c r="G28" s="149">
        <f t="shared" si="0"/>
        <v>172991</v>
      </c>
      <c r="H28" s="45" t="s">
        <v>429</v>
      </c>
    </row>
    <row r="29" spans="2:8" s="10" customFormat="1" ht="27.6" customHeight="1">
      <c r="B29" s="92"/>
      <c r="C29" s="177" t="s">
        <v>455</v>
      </c>
      <c r="D29" s="180" t="s">
        <v>466</v>
      </c>
      <c r="E29" s="182">
        <v>0</v>
      </c>
      <c r="F29" s="182">
        <v>41414.1</v>
      </c>
      <c r="G29" s="149">
        <f t="shared" si="0"/>
        <v>-41414.1</v>
      </c>
      <c r="H29" s="45" t="s">
        <v>429</v>
      </c>
    </row>
    <row r="30" spans="2:8" s="10" customFormat="1" ht="27.6" customHeight="1">
      <c r="B30" s="92"/>
      <c r="C30" s="175" t="s">
        <v>207</v>
      </c>
      <c r="D30" s="180" t="s">
        <v>467</v>
      </c>
      <c r="E30" s="182">
        <v>180893</v>
      </c>
      <c r="F30" s="182">
        <v>326082.1</v>
      </c>
      <c r="G30" s="149">
        <f t="shared" si="0"/>
        <v>-145189.09999999998</v>
      </c>
      <c r="H30" s="45" t="s">
        <v>429</v>
      </c>
    </row>
    <row r="31" spans="2:8" s="10" customFormat="1" ht="27.6" customHeight="1">
      <c r="B31" s="92"/>
      <c r="C31" s="175" t="s">
        <v>228</v>
      </c>
      <c r="D31" s="180" t="s">
        <v>245</v>
      </c>
      <c r="E31" s="182">
        <v>3356750</v>
      </c>
      <c r="F31" s="182">
        <v>0</v>
      </c>
      <c r="G31" s="149">
        <f t="shared" si="0"/>
        <v>3356750</v>
      </c>
      <c r="H31" s="45" t="s">
        <v>429</v>
      </c>
    </row>
    <row r="32" spans="2:8" s="10" customFormat="1" ht="27.6" customHeight="1">
      <c r="B32" s="92"/>
      <c r="C32" s="176" t="s">
        <v>456</v>
      </c>
      <c r="D32" s="180" t="s">
        <v>468</v>
      </c>
      <c r="E32" s="182">
        <v>154740</v>
      </c>
      <c r="F32" s="182">
        <v>161267</v>
      </c>
      <c r="G32" s="149">
        <f t="shared" si="0"/>
        <v>-6527</v>
      </c>
      <c r="H32" s="45" t="s">
        <v>429</v>
      </c>
    </row>
    <row r="33" spans="2:8" s="10" customFormat="1" ht="27.6" customHeight="1">
      <c r="B33" s="92"/>
      <c r="C33" s="175" t="s">
        <v>229</v>
      </c>
      <c r="D33" s="181" t="s">
        <v>246</v>
      </c>
      <c r="E33" s="182">
        <v>9601874</v>
      </c>
      <c r="F33" s="182">
        <v>8730951</v>
      </c>
      <c r="G33" s="149">
        <f t="shared" si="0"/>
        <v>870923</v>
      </c>
      <c r="H33" s="45" t="s">
        <v>429</v>
      </c>
    </row>
    <row r="34" spans="2:8" s="10" customFormat="1" ht="27.6" customHeight="1">
      <c r="B34" s="92"/>
      <c r="C34" s="178" t="s">
        <v>334</v>
      </c>
      <c r="D34" s="181" t="s">
        <v>333</v>
      </c>
      <c r="E34" s="182">
        <v>1558033</v>
      </c>
      <c r="F34" s="182">
        <v>374661.61</v>
      </c>
      <c r="G34" s="149">
        <f t="shared" si="0"/>
        <v>1183371.3900000001</v>
      </c>
      <c r="H34" s="45" t="s">
        <v>429</v>
      </c>
    </row>
    <row r="35" spans="2:8" s="10" customFormat="1" ht="27.6" customHeight="1">
      <c r="B35" s="92"/>
      <c r="C35" s="175" t="s">
        <v>230</v>
      </c>
      <c r="D35" s="180" t="s">
        <v>247</v>
      </c>
      <c r="E35" s="182">
        <v>700000</v>
      </c>
      <c r="F35" s="182">
        <v>0</v>
      </c>
      <c r="G35" s="149">
        <f t="shared" si="0"/>
        <v>700000</v>
      </c>
      <c r="H35" s="45" t="s">
        <v>429</v>
      </c>
    </row>
    <row r="36" spans="1:8" s="10" customFormat="1" ht="27.6" customHeight="1">
      <c r="A36" s="10">
        <v>502</v>
      </c>
      <c r="B36" s="92"/>
      <c r="C36" s="175" t="s">
        <v>231</v>
      </c>
      <c r="D36" s="180" t="s">
        <v>248</v>
      </c>
      <c r="E36" s="182">
        <v>4267488</v>
      </c>
      <c r="F36" s="182">
        <v>115689.6</v>
      </c>
      <c r="G36" s="149">
        <f t="shared" si="0"/>
        <v>4151798.4</v>
      </c>
      <c r="H36" s="45" t="s">
        <v>429</v>
      </c>
    </row>
    <row r="37" spans="2:8" s="10" customFormat="1" ht="27.6" customHeight="1">
      <c r="B37" s="92"/>
      <c r="C37" s="175" t="s">
        <v>232</v>
      </c>
      <c r="D37" s="180" t="s">
        <v>249</v>
      </c>
      <c r="E37" s="182">
        <v>60114</v>
      </c>
      <c r="F37" s="182">
        <v>46988</v>
      </c>
      <c r="G37" s="149">
        <f t="shared" si="0"/>
        <v>13126</v>
      </c>
      <c r="H37" s="45" t="s">
        <v>429</v>
      </c>
    </row>
    <row r="38" spans="2:8" ht="27.6" customHeight="1">
      <c r="B38" s="46"/>
      <c r="C38" s="175" t="s">
        <v>335</v>
      </c>
      <c r="D38" s="180" t="s">
        <v>336</v>
      </c>
      <c r="E38" s="183">
        <v>1309143</v>
      </c>
      <c r="F38" s="183">
        <v>0</v>
      </c>
      <c r="G38" s="149">
        <f t="shared" si="0"/>
        <v>1309143</v>
      </c>
      <c r="H38" s="45" t="s">
        <v>429</v>
      </c>
    </row>
    <row r="39" spans="2:8" ht="27.6" customHeight="1">
      <c r="B39" s="46"/>
      <c r="C39" s="175" t="s">
        <v>337</v>
      </c>
      <c r="D39" s="180" t="s">
        <v>338</v>
      </c>
      <c r="E39" s="182">
        <v>161555</v>
      </c>
      <c r="F39" s="182">
        <v>22414.81</v>
      </c>
      <c r="G39" s="149">
        <f t="shared" si="0"/>
        <v>139140.19</v>
      </c>
      <c r="H39" s="45" t="s">
        <v>429</v>
      </c>
    </row>
    <row r="40" spans="2:8" s="40" customFormat="1" ht="27.6" customHeight="1">
      <c r="B40" s="46"/>
      <c r="C40" s="175" t="s">
        <v>233</v>
      </c>
      <c r="D40" s="180" t="s">
        <v>250</v>
      </c>
      <c r="E40" s="182">
        <v>4491809</v>
      </c>
      <c r="F40" s="182">
        <v>3458286</v>
      </c>
      <c r="G40" s="149">
        <f t="shared" si="0"/>
        <v>1033523</v>
      </c>
      <c r="H40" s="45" t="s">
        <v>429</v>
      </c>
    </row>
    <row r="41" spans="2:8" ht="27.6" customHeight="1">
      <c r="B41" s="46"/>
      <c r="C41" s="175" t="s">
        <v>339</v>
      </c>
      <c r="D41" s="180" t="s">
        <v>340</v>
      </c>
      <c r="E41" s="182">
        <v>1737360</v>
      </c>
      <c r="F41" s="182">
        <v>0</v>
      </c>
      <c r="G41" s="149">
        <f t="shared" si="0"/>
        <v>1737360</v>
      </c>
      <c r="H41" s="45" t="s">
        <v>429</v>
      </c>
    </row>
    <row r="42" spans="2:8" ht="27.6" customHeight="1">
      <c r="B42" s="46"/>
      <c r="C42" s="176" t="s">
        <v>457</v>
      </c>
      <c r="D42" s="180" t="s">
        <v>469</v>
      </c>
      <c r="E42" s="182">
        <v>1034290</v>
      </c>
      <c r="F42" s="182">
        <v>313934.97</v>
      </c>
      <c r="G42" s="149">
        <f t="shared" si="0"/>
        <v>720355.03</v>
      </c>
      <c r="H42" s="45" t="s">
        <v>429</v>
      </c>
    </row>
    <row r="43" spans="2:8" s="40" customFormat="1" ht="27.6" customHeight="1">
      <c r="B43" s="46"/>
      <c r="C43" s="175" t="s">
        <v>341</v>
      </c>
      <c r="D43" s="180" t="s">
        <v>342</v>
      </c>
      <c r="E43" s="182">
        <v>1878642</v>
      </c>
      <c r="F43" s="182">
        <v>1339827</v>
      </c>
      <c r="G43" s="149">
        <f t="shared" si="0"/>
        <v>538815</v>
      </c>
      <c r="H43" s="45" t="s">
        <v>429</v>
      </c>
    </row>
    <row r="44" spans="2:8" ht="27.6" customHeight="1">
      <c r="B44" s="46"/>
      <c r="C44" s="175" t="s">
        <v>343</v>
      </c>
      <c r="D44" s="180" t="s">
        <v>344</v>
      </c>
      <c r="E44" s="182">
        <v>3214332</v>
      </c>
      <c r="F44" s="182">
        <v>1265905</v>
      </c>
      <c r="G44" s="149">
        <f t="shared" si="0"/>
        <v>1948427</v>
      </c>
      <c r="H44" s="45" t="s">
        <v>429</v>
      </c>
    </row>
    <row r="45" spans="2:8" s="40" customFormat="1" ht="27.6" customHeight="1">
      <c r="B45" s="46"/>
      <c r="C45" s="176" t="s">
        <v>458</v>
      </c>
      <c r="D45" s="180" t="s">
        <v>470</v>
      </c>
      <c r="E45" s="182">
        <v>1637810</v>
      </c>
      <c r="F45" s="182">
        <v>208965.71</v>
      </c>
      <c r="G45" s="149">
        <f t="shared" si="0"/>
        <v>1428844.29</v>
      </c>
      <c r="H45" s="45" t="s">
        <v>429</v>
      </c>
    </row>
    <row r="46" spans="2:8" s="40" customFormat="1" ht="27.6" customHeight="1">
      <c r="B46" s="46"/>
      <c r="C46" s="175" t="s">
        <v>181</v>
      </c>
      <c r="D46" s="180" t="s">
        <v>251</v>
      </c>
      <c r="E46" s="182">
        <v>2784894</v>
      </c>
      <c r="F46" s="182">
        <v>455394</v>
      </c>
      <c r="G46" s="149">
        <f t="shared" si="0"/>
        <v>2329500</v>
      </c>
      <c r="H46" s="45" t="s">
        <v>429</v>
      </c>
    </row>
    <row r="47" spans="2:8" s="40" customFormat="1" ht="27.6" customHeight="1">
      <c r="B47" s="46"/>
      <c r="C47" s="175" t="s">
        <v>234</v>
      </c>
      <c r="D47" s="180" t="s">
        <v>252</v>
      </c>
      <c r="E47" s="182">
        <v>4555995</v>
      </c>
      <c r="F47" s="182">
        <v>1738132.58</v>
      </c>
      <c r="G47" s="149">
        <f t="shared" si="0"/>
        <v>2817862.42</v>
      </c>
      <c r="H47" s="45" t="s">
        <v>429</v>
      </c>
    </row>
    <row r="48" spans="2:8" s="40" customFormat="1" ht="27.6" customHeight="1">
      <c r="B48" s="46"/>
      <c r="C48" s="175" t="s">
        <v>235</v>
      </c>
      <c r="D48" s="180" t="s">
        <v>253</v>
      </c>
      <c r="E48" s="182">
        <v>1305111</v>
      </c>
      <c r="F48" s="182">
        <v>670900.73</v>
      </c>
      <c r="G48" s="149">
        <f t="shared" si="0"/>
        <v>634210.27</v>
      </c>
      <c r="H48" s="45" t="s">
        <v>429</v>
      </c>
    </row>
    <row r="49" spans="2:8" ht="27.6" customHeight="1">
      <c r="B49" s="35"/>
      <c r="C49" s="35" t="s">
        <v>8</v>
      </c>
      <c r="D49" s="90"/>
      <c r="E49" s="61">
        <f>SUM(E8:E48)</f>
        <v>78605361</v>
      </c>
      <c r="F49" s="61">
        <f>SUM(F8:F48)</f>
        <v>30408212.95</v>
      </c>
      <c r="G49" s="140">
        <f>SUM(G8:G48)</f>
        <v>48197148.05</v>
      </c>
      <c r="H49" s="93"/>
    </row>
    <row r="50" spans="5:7" ht="18.6" customHeight="1">
      <c r="E50" s="33"/>
      <c r="F50" s="33"/>
      <c r="G50" s="33"/>
    </row>
    <row r="51" spans="5:7" ht="12.75">
      <c r="E51" s="33"/>
      <c r="F51" s="33"/>
      <c r="G51" s="33"/>
    </row>
    <row r="52" spans="5:7" ht="12.75">
      <c r="E52" s="33"/>
      <c r="F52" s="33"/>
      <c r="G52" s="33"/>
    </row>
  </sheetData>
  <printOptions/>
  <pageMargins left="0" right="0" top="0.3937007874015748" bottom="0" header="0" footer="0"/>
  <pageSetup horizontalDpi="600" verticalDpi="600" orientation="portrait" paperSize="9" scale="90" r:id="rId1"/>
  <headerFooter alignWithMargins="0">
    <oddFooter>&amp;L&amp;8Dok.nr. 187953-17 Sag nr. 2692-17&amp;R&amp;P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Heidi Haargaard Høj</cp:lastModifiedBy>
  <cp:lastPrinted>2018-07-10T11:54:09Z</cp:lastPrinted>
  <dcterms:created xsi:type="dcterms:W3CDTF">2008-01-30T07:27:00Z</dcterms:created>
  <dcterms:modified xsi:type="dcterms:W3CDTF">2018-11-08T09:26:09Z</dcterms:modified>
  <cp:category/>
  <cp:version/>
  <cp:contentType/>
  <cp:contentStatus/>
</cp:coreProperties>
</file>